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72" activeTab="0"/>
  </bookViews>
  <sheets>
    <sheet name="1 Доходы  " sheetId="1" r:id="rId1"/>
    <sheet name="2 Расходы " sheetId="2" r:id="rId2"/>
    <sheet name="3 Результаты" sheetId="3" r:id="rId3"/>
    <sheet name="4 Объемы работ" sheetId="4" r:id="rId4"/>
    <sheet name="5 расчет по нормативам" sheetId="5" r:id="rId5"/>
    <sheet name="6 программа-стройки" sheetId="6" r:id="rId6"/>
    <sheet name="7 программа кап ремонт" sheetId="7" r:id="rId7"/>
    <sheet name="8 графики работ" sheetId="8" r:id="rId8"/>
    <sheet name="9 крупные подрядчики" sheetId="9" r:id="rId9"/>
    <sheet name="10 крупные поставщики" sheetId="10" r:id="rId10"/>
    <sheet name="11 материалы" sheetId="11" r:id="rId11"/>
  </sheets>
  <definedNames>
    <definedName name="_xlnm.Print_Titles" localSheetId="0">'1 Доходы  '!$3:$4</definedName>
    <definedName name="_xlnm.Print_Titles" localSheetId="9">'10 крупные поставщики'!$3:$5</definedName>
    <definedName name="_xlnm.Print_Titles" localSheetId="10">'11 материалы'!$4:$5</definedName>
    <definedName name="_xlnm.Print_Titles" localSheetId="1">'2 Расходы '!$4:$7</definedName>
    <definedName name="_xlnm.Print_Titles" localSheetId="2">'3 Результаты'!$4:$6</definedName>
    <definedName name="_xlnm.Print_Titles" localSheetId="3">'4 Объемы работ'!$4:$6</definedName>
    <definedName name="_xlnm.Print_Titles" localSheetId="4">'5 расчет по нормативам'!$4:$5</definedName>
    <definedName name="_xlnm.Print_Titles" localSheetId="5">'6 программа-стройки'!$3:$5</definedName>
    <definedName name="_xlnm.Print_Titles" localSheetId="6">'7 программа кап ремонт'!$3:$5</definedName>
    <definedName name="_xlnm.Print_Titles" localSheetId="7">'8 графики работ'!$3:$4</definedName>
    <definedName name="_xlnm.Print_Titles" localSheetId="8">'9 крупные подрядчики'!$3:$4</definedName>
    <definedName name="_xlnm.Print_Area" localSheetId="0">'1 Доходы  '!$A$1:$E$15</definedName>
    <definedName name="_xlnm.Print_Area" localSheetId="9">'10 крупные поставщики'!$A$1:$J$2779</definedName>
    <definedName name="_xlnm.Print_Area" localSheetId="1">'2 Расходы '!$A$1:$F$34</definedName>
    <definedName name="_xlnm.Print_Area" localSheetId="2">'3 Результаты'!$A$1:$F$24</definedName>
    <definedName name="_xlnm.Print_Area" localSheetId="3">'4 Объемы работ'!$A$1:$F$24</definedName>
    <definedName name="_xlnm.Print_Area" localSheetId="4">'5 расчет по нормативам'!$A$1:$C$18</definedName>
    <definedName name="_xlnm.Print_Area" localSheetId="5">'6 программа-стройки'!$A$1:$M$3625</definedName>
    <definedName name="_xlnm.Print_Area" localSheetId="6">'7 программа кап ремонт'!$A$1:$Q$2908</definedName>
    <definedName name="_xlnm.Print_Area" localSheetId="7">'8 графики работ'!$A$1:$G$2885</definedName>
    <definedName name="_xlnm.Print_Area" localSheetId="8">'9 крупные подрядчики'!$A$1:$J$3153</definedName>
  </definedNames>
  <calcPr fullCalcOnLoad="1"/>
</workbook>
</file>

<file path=xl/sharedStrings.xml><?xml version="1.0" encoding="utf-8"?>
<sst xmlns="http://schemas.openxmlformats.org/spreadsheetml/2006/main" count="708" uniqueCount="421">
  <si>
    <t>Форма № 1</t>
  </si>
  <si>
    <t>Информация о формировании объемов дорожного фонда за 2016 год</t>
  </si>
  <si>
    <t>2016 год</t>
  </si>
  <si>
    <t>Наименование источников формирования дорожного фонда</t>
  </si>
  <si>
    <t>Объем, млн рублей</t>
  </si>
  <si>
    <t>план</t>
  </si>
  <si>
    <t>факт с начала года</t>
  </si>
  <si>
    <t>Объем ассигнований дорожного фонда субъекта Российской Федерации в соответствии с законом субъекта Российской Федерации от {Дата и номер закона не заданы}, из них:</t>
  </si>
  <si>
    <t>акцизы на автомобильное топливо, подлежащие зачислению в бюджет субъекта Российской Федерации</t>
  </si>
  <si>
    <t>транспортный налог</t>
  </si>
  <si>
    <t>Другие источники, определенные законом субъекта Российской Федерации о создании дорожного фонда субъекта Российской Федерации</t>
  </si>
  <si>
    <t xml:space="preserve">за 2016 год </t>
  </si>
  <si>
    <t>Объем доходов бюджета субъекта Российской Федерации, направляемых в дорожный фонд субъекта Российской Федерации в соответствии с законом субъекта Российской Федерации от {Дата и номер закона не заданы}, из них:</t>
  </si>
  <si>
    <t>__________________</t>
  </si>
  <si>
    <t>подпись</t>
  </si>
  <si>
    <t>Форма № 2</t>
  </si>
  <si>
    <t xml:space="preserve">Информация об основных направлениях расходования ассигнований дорожного фонда             </t>
  </si>
  <si>
    <t>Наименование направлений расходования ассигнований дорожного фонда субъекта Российской Федерации</t>
  </si>
  <si>
    <t>Строка</t>
  </si>
  <si>
    <t>субсидии из федерального бюджета</t>
  </si>
  <si>
    <t xml:space="preserve">Объемы финансирования из дорожного фонда субъекта Российской Федерации по основным направлениям расходования (сумма строк 4, 9, 13, 14, 15, 16, 17, 22), в том числе </t>
  </si>
  <si>
    <t>капитальный ремонт, ремонт и содержание автомобильных дорог общего пользования регионального значения и искусственных сооружений на них (сумма строк 5, 6, 7, 8), из них*:</t>
  </si>
  <si>
    <t>капитальный ремонт автомобильных дорог общего пользования регионального значения и искусственных сооружений на них</t>
  </si>
  <si>
    <t>ремонт автомобильных дорог общего пользования регионального значения и искусственных сооружений на них</t>
  </si>
  <si>
    <t>содержание автомобильных дорог общего пользования регионального значения и искусственных сооружений на них</t>
  </si>
  <si>
    <t>другие дорожно-эксплуатационные расходы на автомобильных дорогах регионального значения</t>
  </si>
  <si>
    <t>строительство и реконструкция автомобильных дорог общего пользования регионального значения и искусственных сооружений на них (сумма строк 10, 11), из них: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</si>
  <si>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</si>
  <si>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строительство, реконструкция объектов</t>
  </si>
  <si>
    <r>
      <t xml:space="preserve">в том числе проектирование и строительство (реконструкция) автомобильных дорог общего пользования </t>
    </r>
    <r>
      <rPr>
        <b/>
        <sz val="14"/>
        <rFont val="Times New Roman"/>
        <family val="1"/>
      </rPr>
      <t>регионального значения</t>
    </r>
    <r>
      <rPr>
        <sz val="14"/>
        <rFont val="Times New Roman"/>
        <family val="1"/>
      </rPr>
      <t xml:space="preserve"> с твердым покрытием к сельским населенным пунктам</t>
    </r>
  </si>
  <si>
    <t>выполнение научно-исследовательских и опытно-конструкторских работ в области дорожного хозяйства</t>
  </si>
  <si>
    <t>обеспечение транспортной безопасности объектов автомобильного транспорта и дорожного хозяйства</t>
  </si>
  <si>
    <t>содержание подведомственных государственных учреждений, осуществляющих управление дорожным хозяйством</t>
  </si>
  <si>
    <t>погашение задолженности по бюджетным кредитам, полученным субъектом Российской Федерации из федерального бюджета на строительство, реконструкцию, капитальный ремонт, ремонт и содержание автомобильных дорог общего пользования (за исключением автомобильных дорог федерального значения) и на осуществление расходов по обслуживанию долговых обязательств, связанных с использованием указанных кредитов</t>
  </si>
  <si>
    <t xml:space="preserve">предоставление субсидий бюджетам муниципальных образований (сумма строк 18, 19, 20, 21), в том числе: </t>
  </si>
  <si>
    <t>проектирование и строительство (реконструкцию) автомобильных дорог общего пользования муниципального значения с твердым покрытием, к сельским населенным пунктам, не имеющим круглогодичной связи с сетью автомобильных дорог общего пользования</t>
  </si>
  <si>
    <t>капитальный ремонт и ремонт автомобильных дорог общего пользования населенных пунктов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</si>
  <si>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</si>
  <si>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образований по другим направлениям</t>
  </si>
  <si>
    <t>осуществление иных мероприятий в отношении автомобильных дорог общего пользования, финансируемых за счет средств дорожного фонда субъекта Российской Федерации</t>
  </si>
  <si>
    <t>* данные приведены с учетом средств Резервного Фонда Российской Федерации</t>
  </si>
  <si>
    <t>Подпись руководителя органа исполнительной власти субъекта Российской Федерации, определенного ответственным за представление данной формы:</t>
  </si>
  <si>
    <t>Форма № 3</t>
  </si>
  <si>
    <t>Результаты деятельности дорожных фондов (представляется один раз по итогам года)</t>
  </si>
  <si>
    <t>Наименование показателей</t>
  </si>
  <si>
    <t>Единица измерения</t>
  </si>
  <si>
    <t>Величина показателя  за отчетный год на сети автомобильных дорог общего пользования</t>
  </si>
  <si>
    <t>Прирост (снижение) протяженности автомобильных дорог регионального значения, соответствующих нормативным требованиям к транспортно-эксплуатационным показателям (+\-)</t>
  </si>
  <si>
    <t>км</t>
  </si>
  <si>
    <t>Прирост (снижение) доли протяженности автомобильных дорог регионального значения, соответствующих нормативным требованиям к транспортно-эксплуатационным показателям (+\-)</t>
  </si>
  <si>
    <t>%</t>
  </si>
  <si>
    <t>Прирост протяженности автомобильных дорог регионального значения, обслуживающих движение в режиме перегрузки (+\-)</t>
  </si>
  <si>
    <t>Прирост (снижение) доли протяженности автомобильных дорог регионального значения, обслуживающих движение в режиме перегрузки (+\-)</t>
  </si>
  <si>
    <t>Прирост (снижение) протяженности автомобильных дорог регионального значения, обеспечивающих пропуск транспортных средств с нагрузкой на наиболее загруженную ось 10 тонн (+\-)</t>
  </si>
  <si>
    <t>Прирост (снижение) протяженности автомобильных дорог регионального значения, обеспечивающих пропуск транспортных средств с нагрузкой на наиболее загруженную ось 11,5 тонн (+\-)</t>
  </si>
  <si>
    <t>Прирост количества сельских населенных пунктов, обеспеченных круглогодичной связью с сетью автомобильных дорог общего пользования по дорогам с твердым покрытием за счет субсидий из дорожного фонда субъекта Российской Федерации</t>
  </si>
  <si>
    <t>шт.</t>
  </si>
  <si>
    <t>Прирост количества постоянного населения сельских населенных пунктов, обеспеченного круглогодичной связью с сетью автомобильных дорог общего пользования по дорогам с твердым покрытием за счет субсидий из дорожного фонда субъекта Российской Федерации</t>
  </si>
  <si>
    <t>тыс. чел.</t>
  </si>
  <si>
    <r>
      <t xml:space="preserve">Количество сельских населенных пунктов, в которых осуществлен капитальный ремонт и </t>
    </r>
    <r>
      <rPr>
        <b/>
        <sz val="14"/>
        <rFont val="Times New Roman"/>
        <family val="1"/>
      </rPr>
      <t>ремонт</t>
    </r>
    <r>
      <rPr>
        <sz val="14"/>
        <rFont val="Times New Roman"/>
        <family val="1"/>
      </rPr>
      <t xml:space="preserve"> автомобильных дорог общего пользования</t>
    </r>
  </si>
  <si>
    <t>Количество дворовых территорий многоквартирных домов в населенных пунктах, на которых осуществлен капитальный ремонт и ремонт</t>
  </si>
  <si>
    <t>Количество дворовых территорий многоквартирных домов в населенных пунктах, к которым осуществлен капитальный ремонт и ремонт проездов</t>
  </si>
  <si>
    <t>Форма № 4</t>
  </si>
  <si>
    <t>Основные объемы работ, выполняемые на автомобильных дорогах регионального значения</t>
  </si>
  <si>
    <t>Величина показателя</t>
  </si>
  <si>
    <t>Протяженность участков автомобильных дорог регионального значения, находящихся в строительстве и реконструкции</t>
  </si>
  <si>
    <t>Протяженность участков ввода в эксплуатацию после строительства и реконструкции автомобильных дорог регионального значения в текущем году</t>
  </si>
  <si>
    <t>Протяженность участков ввода в эксплуатацию после строительства и реконструкции автомобильных дорог регионального значения в текущем году, в однополосном исчислении</t>
  </si>
  <si>
    <t>Протяженность автозимников, находящихся в строительстве и реконструкции</t>
  </si>
  <si>
    <t>Количество искусственных сооружений на автомобильных дорогах регионального значения, находящихся в строительстве и реконструкции</t>
  </si>
  <si>
    <t>штук</t>
  </si>
  <si>
    <t>Количество искусственных сооружений на автомобильных дорогах регионального значения, подлежащих вводу (введенных) в эксплуатацию после строительства и реконструкции в текущем году</t>
  </si>
  <si>
    <t>Длина искусственных сооружений на автомобильных дорогах регионального значения, подлежащих вводу (введенных) в эксплуатацию после строительства и реконструкции в текущем году</t>
  </si>
  <si>
    <t>пог.м</t>
  </si>
  <si>
    <t>в том числе длина тоннелей на автомобильных дорогах регионального значения, подлежащих вводу (введенных) в эксплуатацию после строительства и реконструкции в текущем году</t>
  </si>
  <si>
    <t>Количество пешеходных переходов в разных уровнях на автомобильных дорогах регионального значения, подлежащих вводу (введенных) в эксплуатацию в текущем году</t>
  </si>
  <si>
    <t>шт</t>
  </si>
  <si>
    <t>Протяженность линий искусственного электрического освещения на автомобильных дорогах регионального значения, подлежащих вводу (введенных) в эксплуатацию после строительства и реконструкции в текущем году</t>
  </si>
  <si>
    <t>Протяженность построенных и реконструированных ограждений барьерных на автомобильных дорогах регионального значения в текущем году</t>
  </si>
  <si>
    <t>Площадь земельных участков, отведенная для строительства и реконструкции автомобильных дорог в текущем году</t>
  </si>
  <si>
    <t>га</t>
  </si>
  <si>
    <t>Протяженность участков автомобильных дорог регионального значения, подлежащих вводу (введенных) в эксплуатацию после капитального ремонта и ремонта в текущем году</t>
  </si>
  <si>
    <t>Протяженность участков автомобильных дорог регионального значения, подлежащих вводу (введенных) в эксплуатацию после капитального ремонта и ремонта в текущем году, в однополосном исчислении</t>
  </si>
  <si>
    <t>Длина искусственных сооружений на автомобильных дорогах регионального значения, подлежащих вводу (введенных) в эксплуатацию после капитального ремонта и ремонта в текущем году</t>
  </si>
  <si>
    <t>Протяженность подлежащих вводу (введенных) в эксплуатацию после строительства или реконструкции автомобильных дорог общего пользования с твердым покрытием, направленных на прирост количества сельских населенных пунктов, обеспеченных круглогодичной связью с сетью автомобильных дорог общего пользования</t>
  </si>
  <si>
    <t>Площадь покрытия автомобильных дорог общего пользования населенных пунктов, подлежащих вводу (введенных) в эксплуатацию после капитального ремонта и ремонта в текущем году</t>
  </si>
  <si>
    <t>кв.м</t>
  </si>
  <si>
    <t>Площадь покрытия дворовых территорий многоквартирных домов населенных пунктов и проездов общего пользования к ним, подлежащих вводу (введенных) в эксплуатацию после капитального ремонта и ремонта в текущем году</t>
  </si>
  <si>
    <t>Информация о потребности на 2016 год в затратах на выполнение капитального ремонта, ремонта и содержания автомобильных дорог регионального значения в соответствии с утвержденными нормативами затрат</t>
  </si>
  <si>
    <t>Форма № 5</t>
  </si>
  <si>
    <t xml:space="preserve">Потребность на 2016 год в затратах на выполнение капитального ремонта, ремонта и содержания автомобильных дорог регионального значения в соответствии с утвержденными нормативами затрат (сумма строк 2, 3, 4), в том числе </t>
  </si>
  <si>
    <t>Наименование направлений расходования</t>
  </si>
  <si>
    <t>Норматив затрат в ценах 2016 года, тыс рублей</t>
  </si>
  <si>
    <t>капитальный ремонт автомобильных дорог общего пользования регионального значения</t>
  </si>
  <si>
    <t>ремонт автомобильных дорог общего пользования регионального значения</t>
  </si>
  <si>
    <t>содержание автомобильных дорог общего пользования регионального значения</t>
  </si>
  <si>
    <t>Справочно:</t>
  </si>
  <si>
    <t>Информация о дорожной сети и нормативах затрат субъекта Российской Федерации:</t>
  </si>
  <si>
    <t>Протяженность дорог, км</t>
  </si>
  <si>
    <t>Протяженность автомобильных дорог регионального значения с твердым покрытием по состоянию на 01.01.2016 года, в том числе:</t>
  </si>
  <si>
    <t>I категории</t>
  </si>
  <si>
    <t>II категории</t>
  </si>
  <si>
    <t>III категории</t>
  </si>
  <si>
    <t>IV категории</t>
  </si>
  <si>
    <t>V категории</t>
  </si>
  <si>
    <t>Форма № 6</t>
  </si>
  <si>
    <t>Перечень автомобильных дорог регионального значения, на которых в рамках региональных адресных инвестиционных программ осуществляется проектирование, строительство и реконструкция</t>
  </si>
  <si>
    <t>№№ п/п</t>
  </si>
  <si>
    <t>Наименование автомобильной дороги, объекта, участок дороги</t>
  </si>
  <si>
    <t>Мощность</t>
  </si>
  <si>
    <t>Категория дороги</t>
  </si>
  <si>
    <t>Число полос движения, шт</t>
  </si>
  <si>
    <t>Срок ввода в действие</t>
  </si>
  <si>
    <t>Сметная стоимость объекта в ценах года утверждения ПСД, млн рублей</t>
  </si>
  <si>
    <t>Остаток стоимости объекта, млн рублей</t>
  </si>
  <si>
    <t>Объем финансирования (млн.руб.)</t>
  </si>
  <si>
    <t>из них искус-ственные сооруже-ния,         пог. м</t>
  </si>
  <si>
    <t>Мощность, вводимая в эксплутацию в 2016 году</t>
  </si>
  <si>
    <t>Информация о графиках реализации в 2016 году проектов и мероприятий на автомобильных дорогах регионального значения</t>
  </si>
  <si>
    <t>Форма № 7</t>
  </si>
  <si>
    <t>№ п/п</t>
  </si>
  <si>
    <t>Автомобильная дорога, участок км…км</t>
  </si>
  <si>
    <t>Техническая категория</t>
  </si>
  <si>
    <t>Интенсивность движения авт/сутки</t>
  </si>
  <si>
    <t xml:space="preserve">Сроки производства работ </t>
  </si>
  <si>
    <t>Мощность объекта</t>
  </si>
  <si>
    <t>Сметная стоимость объекта в ценах соответствующих лет, млн рублей</t>
  </si>
  <si>
    <t>Подлежит выполнению до конца капитального ремонта, в ценах соответствующих лет тыс. руб</t>
  </si>
  <si>
    <t>Объем финансирования, млн рублей</t>
  </si>
  <si>
    <t>начало</t>
  </si>
  <si>
    <t>конец</t>
  </si>
  <si>
    <t>из них искусст-венные сооруже-ния, пог. м</t>
  </si>
  <si>
    <t>из них искусственные сооружения, пог. м</t>
  </si>
  <si>
    <t>Форма № 8</t>
  </si>
  <si>
    <t>Наименование автомобильной дороги</t>
  </si>
  <si>
    <t>Адрес участка работ</t>
  </si>
  <si>
    <t>Вид и характер работ (строительство, реконструкция, капитальный ремонт, ремонт)</t>
  </si>
  <si>
    <t>Ориентировочные сроки работ</t>
  </si>
  <si>
    <t>Примечание (доп. условия по увязке с другими дорогами)</t>
  </si>
  <si>
    <t>Начало участка км +</t>
  </si>
  <si>
    <t>Конец участка км +</t>
  </si>
  <si>
    <t>Начало (месяц, год)</t>
  </si>
  <si>
    <t>Окончание (месяц, год)</t>
  </si>
  <si>
    <t>Объем работ, выполняемых в 2016 году по направлениям, млн рублей</t>
  </si>
  <si>
    <t>Форма № 9</t>
  </si>
  <si>
    <t>Информация о генеральных подрядных организациях, выполняющих в субъекте Российской Федерации работы по строительству, реконструкции, капитальному ремонту, ремонту и содержанию дорог и искусственных сооружений на них в объеме, составляющем 10 % и более годового объема финансирования соответствующего вида работ</t>
  </si>
  <si>
    <t>Наименование подрядной организации, ее организационная форма (ОАО, ООО, ГУП и т.д.)</t>
  </si>
  <si>
    <t>строительство и реконструкция дорог</t>
  </si>
  <si>
    <t>строительство и реконструкция искусственных сооружений</t>
  </si>
  <si>
    <t>капитальный ремонт дорог</t>
  </si>
  <si>
    <t>капитальный ремонт искусственных сооружений</t>
  </si>
  <si>
    <t>ремонт дорог</t>
  </si>
  <si>
    <t>ремонт искусственных сооружений</t>
  </si>
  <si>
    <t>содержание дорог</t>
  </si>
  <si>
    <t>содержание искусственных сооружений</t>
  </si>
  <si>
    <t>Объем работ, выполняемых в 2016 году по видам материалов</t>
  </si>
  <si>
    <t>Форма № 10</t>
  </si>
  <si>
    <t>Информация о поставщиках основных инертных строительных материалов, используемых при строительстве, реконструкции, капитальном ремонте, ремонте и содержании дорог и искусственных сооружений на них, осуществляющих поставки в объеме, составляющем 10 % и более годовой потребности субъекта Российской Федерации в данном материале</t>
  </si>
  <si>
    <t>щебень гранитный</t>
  </si>
  <si>
    <t>щебень известняковый</t>
  </si>
  <si>
    <t>песчано-гравийная смесь</t>
  </si>
  <si>
    <t>песок</t>
  </si>
  <si>
    <t>тыс куб м</t>
  </si>
  <si>
    <t>млн рублей</t>
  </si>
  <si>
    <t>Металл</t>
  </si>
  <si>
    <t>Цемент</t>
  </si>
  <si>
    <t>Битум</t>
  </si>
  <si>
    <t>Песок</t>
  </si>
  <si>
    <t>Песчано-гравийная смесь</t>
  </si>
  <si>
    <t>Щебень известняковый</t>
  </si>
  <si>
    <t>Щебень гранитный</t>
  </si>
  <si>
    <t>Форма № 11</t>
  </si>
  <si>
    <t>Информация о потребности субъекта Российской Федерации в материалах  для строительства, реконструкции, капитального ремонта, ремонта и содержания автомобильных дорог регионального значения и искусственных сооружений на них</t>
  </si>
  <si>
    <t>Наименование материала</t>
  </si>
  <si>
    <t>Ориентировочный объем</t>
  </si>
  <si>
    <t>Примечание: ориентировочная потребность в материалах в таблице приводится из расчета реализации долгосрочных целевых программ, финансируемых за счет дорожного фонда субъекта Российской Федерации, с учетом объемов финансирования строительства, реконструкции, капитального ремонта, ремонта и содержания автомобильных дорог регионального значения и искусственных сооружений на них, предусмотренных законом о бюджете субъекта Российской Федерации</t>
  </si>
  <si>
    <t>+3,3</t>
  </si>
  <si>
    <t>+91</t>
  </si>
  <si>
    <t>+3</t>
  </si>
  <si>
    <t>+12,641</t>
  </si>
  <si>
    <t>5</t>
  </si>
  <si>
    <t>1,237</t>
  </si>
  <si>
    <t>1. Строительство  и реконструкция автомобильных дорог общего пользования регионального значения.</t>
  </si>
  <si>
    <t>IV</t>
  </si>
  <si>
    <t>*</t>
  </si>
  <si>
    <t>в том числе проверка  достоверности определения сметной стоимости</t>
  </si>
  <si>
    <t>2016 г.</t>
  </si>
  <si>
    <t>в том числе корректировка раздела  здания и сооружения</t>
  </si>
  <si>
    <t>2018 г.</t>
  </si>
  <si>
    <t>в том числе получение положительного заключения государств. экспертизы</t>
  </si>
  <si>
    <t>в том числе разработка проектной документации</t>
  </si>
  <si>
    <t>III</t>
  </si>
  <si>
    <t>Линия  электроосвещения на автодороге Южный обход г. Кирова (обход г. Нововятска)</t>
  </si>
  <si>
    <t>5,035 
км</t>
  </si>
  <si>
    <t>I, II</t>
  </si>
  <si>
    <t>4,  2</t>
  </si>
  <si>
    <t xml:space="preserve">Объект наружного освещения на автомобильной дороге Киров-Кслободской-Белая Холуница-Омутнинск-Афанасьево-граница Пермского края </t>
  </si>
  <si>
    <t>0,662
 км</t>
  </si>
  <si>
    <t>Ш</t>
  </si>
  <si>
    <t>4,058
 км</t>
  </si>
  <si>
    <t>0,730 
км</t>
  </si>
  <si>
    <t>1 шт</t>
  </si>
  <si>
    <t>в том числе получение положительного заключения гос.  экспертизы</t>
  </si>
  <si>
    <t>5,931км</t>
  </si>
  <si>
    <t>в том числе разработка проектной документации (ПД), получение положительного заключения гос. экспертизы, получение ТУ на присоединение к э/сетям</t>
  </si>
  <si>
    <t>в том числе разработка ПД, получение положительного заключения гос. экспертизы, получение ТУ на присоединение к э/сетям</t>
  </si>
  <si>
    <t>0,83 км</t>
  </si>
  <si>
    <t>в том числе разработка ПД, получение положительного заключения гос. экспертизы, получение ТУ на присоединениек э/сетям</t>
  </si>
  <si>
    <t>0,600 км</t>
  </si>
  <si>
    <t>0,650 км</t>
  </si>
  <si>
    <t>1,213 км</t>
  </si>
  <si>
    <t>2. Реконструкция мостов.</t>
  </si>
  <si>
    <t>2017 г.</t>
  </si>
  <si>
    <t>в том числе получение положительного заключения гос. экспертизы</t>
  </si>
  <si>
    <t>в том числе изготвление технического плана</t>
  </si>
  <si>
    <t>Проектно-изыскательские работы (областной бюджет)</t>
  </si>
  <si>
    <t>Итого проектирование строительство и реконструкция</t>
  </si>
  <si>
    <t>из ниих  за счет федеральных средств</t>
  </si>
  <si>
    <t>в том числе проектно-изыскательские работы, гос. экспертиза, получение ТУ на тех. присоединение</t>
  </si>
  <si>
    <t xml:space="preserve">Киров-Кирово-Чепецк-Зуевка-Фаленки-граница Республики Удмуртия в Фаленском районе, участок Демаки-Николаево-граница Республики Удмуртия </t>
  </si>
  <si>
    <t>Вятские Поляны-Сосновка, участок от Вятских Полян до мостового перехода через р. Вятка</t>
  </si>
  <si>
    <t xml:space="preserve">Уржум-Буйское-граница Республики Марий Эл  в Уржумском районе, участок Буйское-граница Республики Марий Эл </t>
  </si>
  <si>
    <t>Киров- Котлас-Архангельск  в Кировской  области, участок Опарино - Альмеж</t>
  </si>
  <si>
    <t>Объекты обеспечения транспортной безопасности мостов
 в том числе:</t>
  </si>
  <si>
    <t>Вятские Поляны-Сосновка в Вятскополянском районе, Мост через реку Вятка на км 10+500</t>
  </si>
  <si>
    <t>Вятские Поляны-Сосновка в Вятскополянском районе, Путопровод через железнодорожные пути на км 11+500</t>
  </si>
  <si>
    <t>Киров -Малмыж-Вятские Поляны в Уржумском районе, Мост через реку Вятка на км 154+140</t>
  </si>
  <si>
    <t>Киров -Советск-Яранск в Советском районе, Мост через реку Вятка на км 130+000</t>
  </si>
  <si>
    <t>Подосиновец - граница Вологодской области в Подосиновском районе, Мост через реку Юг на км 0+500</t>
  </si>
  <si>
    <t>Объект наружного освещения на автомобильной дороге Киров-Кирово-Чепецк-Зуевка-Фаленки-Демаки-граница Удмутрской Республикив Кирово-Чепецком районе, км 11+403-км 12+065 (д. Перекоп)</t>
  </si>
  <si>
    <t>Объекты наружного освещения на автодороге Киров-Малмыж-Вятские Поляны в Кирово-Чепецком районе, км18+016 - км  21+068 (д. Кстинино) км21+708 - км22+714 (д. Глушиха)</t>
  </si>
  <si>
    <t>Объекты наружного освещения на автомобильной дороге Киров-Стрижи-Оричи  в муниципальном образовании "Город Киров", км 9+500-км 9+800 (пов. на Катково) км17+070 - км 17+500 (пов. на Лянгасово)</t>
  </si>
  <si>
    <t>Автомобильная дорога обход п. Радужный, Пешеходный переход на км 1+250 (д. Варсеги)</t>
  </si>
  <si>
    <t>Объекты наружного освещения на автомобильной дороге Киров-Малмыж-Вятские Поляны в Вятскополянском районе, Подъезд к г. Вятские Поляны</t>
  </si>
  <si>
    <t>Объекты наружного освещения на автомобильной дороге Киров-Советск-Яранск, автобусные остановки</t>
  </si>
  <si>
    <t>Объекты наружного освещения на автомобильной дороге Южный обход г. Кирова, автобусные остановки 3 шт.</t>
  </si>
  <si>
    <t>Объекты наружного освещения на автомобильной дороге Слободской тракт, автобусные остановки 2 шт.</t>
  </si>
  <si>
    <t>Объекты наружного освещения на автомобильной дороге Киров -Стрижи - Оричи, автобусные остановки 2 шт.</t>
  </si>
  <si>
    <t>Объекты наружного освещения на автомобильной дороге Киров -Малмыж -Вятские Поляны, автобусные остановки 6 шт.</t>
  </si>
  <si>
    <t>Автомобильная дорога Киров-Малмыж-Вятские Поляны в Уржумском районе, Пешеходный переход на км 162+600</t>
  </si>
  <si>
    <t xml:space="preserve">Автомобильная дорога Кырчаны-Нема-Кильмезь в Немском районе, Мост через реку Немда на км 27+200 </t>
  </si>
  <si>
    <t>Автомобильная дорога Кырчаны-Нема-Кильмезь в Кильмезском районе, Мост через реку Ломик на км 101+948</t>
  </si>
  <si>
    <t xml:space="preserve">Автомобильная дорога Киров-Советск-Яранск в Кирово-Чнпецком раоне, Мост через ручей на км 19+550(замена на водопропускную трубу) </t>
  </si>
  <si>
    <t>Киров-Кирово-Чепецк-Зуевка-Фаленки-Демаки-граница Удмуртской Республики, участок Фаленки-Демаки в Фаленском районе</t>
  </si>
  <si>
    <t>V
2016</t>
  </si>
  <si>
    <t>IX
2016</t>
  </si>
  <si>
    <t xml:space="preserve">Киров-Кирово-Чепецк-Зуевка-Фаленки-Демаки-граница Удмуртской Республики, в Кирово-Чепецком районе (устройство дополнительных полос на подъем) </t>
  </si>
  <si>
    <t>VI
2016</t>
  </si>
  <si>
    <t>Мост через реку Ройка на км 235+685  автомобильной дороги Киров-Малмыж-Вятские Поляны в Уржумском районе</t>
  </si>
  <si>
    <t>VII
2016</t>
  </si>
  <si>
    <t>X
2016</t>
  </si>
  <si>
    <t>Мост через реку Аджимка на км 244+580 автомобильной дороги Киров-Малмыж-Вятские Поляны в Малмыжском районе</t>
  </si>
  <si>
    <t>XII
2016</t>
  </si>
  <si>
    <t>Проектно-изыскательские работы</t>
  </si>
  <si>
    <t>Итого капитальный ремонт автодорог и искусственных сооружений</t>
  </si>
  <si>
    <t>5,320 км
2/129,9 пм</t>
  </si>
  <si>
    <t>Киров-Кирово-Чепецк-Зуевка-Фаленки-Демаки-граница Удмуртской Республики</t>
  </si>
  <si>
    <t>127+094
131+950</t>
  </si>
  <si>
    <t>128+326
135+311</t>
  </si>
  <si>
    <t>Капремонт -4,593км</t>
  </si>
  <si>
    <t>05.2016г.</t>
  </si>
  <si>
    <t>09.2016</t>
  </si>
  <si>
    <t xml:space="preserve">Соединяет областной центр с Удмуртской Республикой
</t>
  </si>
  <si>
    <t>2+950</t>
  </si>
  <si>
    <t>3+677</t>
  </si>
  <si>
    <t>Капремонт -0,727км</t>
  </si>
  <si>
    <t>06.2016г.</t>
  </si>
  <si>
    <t>2+300
3+677</t>
  </si>
  <si>
    <t>2+950
6+027</t>
  </si>
  <si>
    <t>Ремонт - 3 км</t>
  </si>
  <si>
    <t>85+165</t>
  </si>
  <si>
    <t>88+165</t>
  </si>
  <si>
    <t>11+100
12+200</t>
  </si>
  <si>
    <t>11+500
14+800</t>
  </si>
  <si>
    <t>Ремонт -3 км</t>
  </si>
  <si>
    <t>07.2016г.</t>
  </si>
  <si>
    <t>08.2016</t>
  </si>
  <si>
    <t>49+880
52+270
54+800</t>
  </si>
  <si>
    <t>51+650
54+020
57+280</t>
  </si>
  <si>
    <t>Ремонт -6 км</t>
  </si>
  <si>
    <t>08.2016г.</t>
  </si>
  <si>
    <t>10.2016</t>
  </si>
  <si>
    <t>67+117
91+060</t>
  </si>
  <si>
    <t>68+117
92+060</t>
  </si>
  <si>
    <t>Ремонт -2 км</t>
  </si>
  <si>
    <t xml:space="preserve">Киров-Малмыж-Вятские Поляны
</t>
  </si>
  <si>
    <t>15+340  
19+506 
27+600 
242+600</t>
  </si>
  <si>
    <t>16+230
20+806
29+200
244+60</t>
  </si>
  <si>
    <t>Ремонт -5,79км</t>
  </si>
  <si>
    <t>Соединяет а/д Южный обход г. Кирова (обход г. Нововятска)  и а/д Вятские Поляны-Кукмор</t>
  </si>
  <si>
    <t>43+989
51+591
58+938
67+777</t>
  </si>
  <si>
    <t>45+011
52+236
59+938
68+110</t>
  </si>
  <si>
    <t>07.2016</t>
  </si>
  <si>
    <t>72+550
79+160
89+800
93+600</t>
  </si>
  <si>
    <t>72+950
79+780
90+900
94+480</t>
  </si>
  <si>
    <t>148+757</t>
  </si>
  <si>
    <t>152+757</t>
  </si>
  <si>
    <t>Ремонт -4 км</t>
  </si>
  <si>
    <t>173+440</t>
  </si>
  <si>
    <t>176+440</t>
  </si>
  <si>
    <t>268+210</t>
  </si>
  <si>
    <t>271+210</t>
  </si>
  <si>
    <t>294+850</t>
  </si>
  <si>
    <t>297+850</t>
  </si>
  <si>
    <t>Киров-Советск-Яранск</t>
  </si>
  <si>
    <t>22+000</t>
  </si>
  <si>
    <t>26+400</t>
  </si>
  <si>
    <t>Ремонт 4,4 км</t>
  </si>
  <si>
    <t>06.2016</t>
  </si>
  <si>
    <t>Соединяет а/д Южный обход г. Кирова  и федеральную а/д "Вятка"</t>
  </si>
  <si>
    <t>75+700</t>
  </si>
  <si>
    <t>77+700</t>
  </si>
  <si>
    <t>162+316</t>
  </si>
  <si>
    <t>164+316</t>
  </si>
  <si>
    <t>40+700
45+056</t>
  </si>
  <si>
    <t>42+700
46+056</t>
  </si>
  <si>
    <t>62+500
70+500
105+250</t>
  </si>
  <si>
    <t>63+530
71+470
106+250</t>
  </si>
  <si>
    <t>Белая Холуница-Кирс</t>
  </si>
  <si>
    <t>55+850</t>
  </si>
  <si>
    <t>57+130</t>
  </si>
  <si>
    <t>Ремонт 1,28 км</t>
  </si>
  <si>
    <t>06.2016г</t>
  </si>
  <si>
    <t>Соединяет два районных центра г.Белая Холуница и г.Кирс</t>
  </si>
  <si>
    <t>41+000</t>
  </si>
  <si>
    <t>45+000</t>
  </si>
  <si>
    <t>Ремонт 4 км</t>
  </si>
  <si>
    <t>Криуша-Советск-Лебяжье-
Марчата</t>
  </si>
  <si>
    <t>6+000
69+800</t>
  </si>
  <si>
    <t>8+000
71+800</t>
  </si>
  <si>
    <t>Соединяет Федеральную а/д "Вятка" с а/д Киров-Советск-Яранск</t>
  </si>
  <si>
    <t>Слободской-Нагорск</t>
  </si>
  <si>
    <t>44+270</t>
  </si>
  <si>
    <t>49+270</t>
  </si>
  <si>
    <t>Ремонт 5 км</t>
  </si>
  <si>
    <t>Соединяет а/д Киров-Слободской-Б.Холуница-Омутнинск-Афанасьево-гр.Пермского края с пгт Нагорск</t>
  </si>
  <si>
    <t>43+240</t>
  </si>
  <si>
    <t>Ремонт 1,03 км</t>
  </si>
  <si>
    <t>64+400
73+950</t>
  </si>
  <si>
    <t>66+500
75+250</t>
  </si>
  <si>
    <t>Ремонт 3,4 км</t>
  </si>
  <si>
    <t>Кырчаны-Нема-Кильмезь</t>
  </si>
  <si>
    <t>113+854</t>
  </si>
  <si>
    <t>115+854</t>
  </si>
  <si>
    <t>Ремонт 2 км</t>
  </si>
  <si>
    <t>Соединяет а/д Киров-Малмыж-Вятские Поляны и а/д Казань-Пермь с выходом в Удмуртскую Республику</t>
  </si>
  <si>
    <t>118+010</t>
  </si>
  <si>
    <t>Ремонт 2,156 км</t>
  </si>
  <si>
    <t>Киров-Слободской-Б.Холуница-Омутнинск-Афанасьево-гр.Пермского края</t>
  </si>
  <si>
    <t>70+400</t>
  </si>
  <si>
    <t>73+400</t>
  </si>
  <si>
    <t>Ремонт 3 км</t>
  </si>
  <si>
    <t xml:space="preserve">Соединяет областной центр с Пермским краем
</t>
  </si>
  <si>
    <t>158+600</t>
  </si>
  <si>
    <t>160+600</t>
  </si>
  <si>
    <t>241+760</t>
  </si>
  <si>
    <t>244+600</t>
  </si>
  <si>
    <t xml:space="preserve">Яранск-Кикнур-граница Нижегородской области
</t>
  </si>
  <si>
    <t>27+400</t>
  </si>
  <si>
    <t>30+400</t>
  </si>
  <si>
    <t>Соединяет федеральную а/д "Вятка" с Нижегородской областью</t>
  </si>
  <si>
    <t>42+120</t>
  </si>
  <si>
    <t>47+120</t>
  </si>
  <si>
    <t>Котельнич-Даровской</t>
  </si>
  <si>
    <t>39+050</t>
  </si>
  <si>
    <t>42+050</t>
  </si>
  <si>
    <t>Соединяет 2 районных центра Котельнич и Даровской</t>
  </si>
  <si>
    <t>46+050</t>
  </si>
  <si>
    <t>Киров-Советск-Яранск-Лошкари-граница Республики Марий Эл</t>
  </si>
  <si>
    <t>10+800</t>
  </si>
  <si>
    <t>13+800</t>
  </si>
  <si>
    <t>Соединяет а/д Киров-Советск-Яранск с Республикой Марий Эл</t>
  </si>
  <si>
    <t xml:space="preserve">Криуша-Советск-Лебяжье-Вершинята
</t>
  </si>
  <si>
    <t>43+300
44+200</t>
  </si>
  <si>
    <t>43+700
46+800</t>
  </si>
  <si>
    <t>Соединяет Федеральную а/д "Вятка" с а/д Киров-Советск</t>
  </si>
  <si>
    <t xml:space="preserve">Плотники-Вожгалы-Богородское-Уни
</t>
  </si>
  <si>
    <t>11+926
26+396
29+238</t>
  </si>
  <si>
    <t>13+800
28+572
30+188</t>
  </si>
  <si>
    <t>Соединяет а/д Киров-Малмыж-Вятские Поляны и а/д Фаленки-Уни</t>
  </si>
  <si>
    <t>а/д "Вятка" - Арбаж</t>
  </si>
  <si>
    <t>0+000</t>
  </si>
  <si>
    <t>1+000</t>
  </si>
  <si>
    <t>Ремонт 1 км</t>
  </si>
  <si>
    <t>Соединяет федеральную а/д "Вятка" с пгт  Арбаж</t>
  </si>
  <si>
    <t>Слободской тракт</t>
  </si>
  <si>
    <t>2+900</t>
  </si>
  <si>
    <t>Ремонт 2,9 км</t>
  </si>
  <si>
    <t>Соединяет г.Киров с а/д Киров-Слободской-Б.Холуница-Омутнинск-Афанасьево-гр.Пермского края</t>
  </si>
  <si>
    <t>Фаленки-Уни</t>
  </si>
  <si>
    <t>14+000</t>
  </si>
  <si>
    <t>16+000</t>
  </si>
  <si>
    <t>Ремонт 2,0 км</t>
  </si>
  <si>
    <t>Соединяет 2 районных центра Фаленки, Уни</t>
  </si>
  <si>
    <t>Вятские Поляны-Кукмор</t>
  </si>
  <si>
    <t>0+000
2+066</t>
  </si>
  <si>
    <t>1+666
3+110</t>
  </si>
  <si>
    <t>Ремонт 2,71 км</t>
  </si>
  <si>
    <t>Соединяет а/д Киров-Малмыж-Вятские Поляны с Республикой Татарстан</t>
  </si>
  <si>
    <t>1.</t>
  </si>
  <si>
    <t xml:space="preserve">КОГП "Вятавтодор"  </t>
  </si>
  <si>
    <t>2.</t>
  </si>
  <si>
    <t>МУПП «Гордормостстрой»</t>
  </si>
  <si>
    <t>ООО Строительное управление 43</t>
  </si>
  <si>
    <t>ООО "Мостремстрой"</t>
  </si>
  <si>
    <t>ООО "СтойТэк"</t>
  </si>
  <si>
    <t>ООО "Кировмост-К"</t>
  </si>
  <si>
    <t>ООО "ПрофСтройИнвест"</t>
  </si>
  <si>
    <t xml:space="preserve"> ООО «УДС»</t>
  </si>
  <si>
    <t>ООО «СУ-43»</t>
  </si>
  <si>
    <t>3.</t>
  </si>
  <si>
    <t>ООО «Межрайонная управляющая компания»</t>
  </si>
  <si>
    <t xml:space="preserve"> </t>
  </si>
  <si>
    <t>4.</t>
  </si>
  <si>
    <t>АО «Чимбулатский карьер»</t>
  </si>
  <si>
    <t>5.</t>
  </si>
  <si>
    <t>НАО «Карьер «Приверх»</t>
  </si>
  <si>
    <t>ООО «Пило»</t>
  </si>
  <si>
    <t>6.</t>
  </si>
  <si>
    <t>тыс.куб.м</t>
  </si>
  <si>
    <t>тыс.тонн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</si>
</sst>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¤&quot;#,##0_);\(&quot;¤&quot;#,##0\)"/>
    <numFmt numFmtId="165" formatCode="&quot;¤&quot;#,##0_);[Red]\(&quot;¤&quot;#,##0\)"/>
    <numFmt numFmtId="166" formatCode="&quot;¤&quot;#,##0.00_);\(&quot;¤&quot;#,##0.00\)"/>
    <numFmt numFmtId="167" formatCode="&quot;¤&quot;#,##0.00_);[Red]\(&quot;¤&quot;#,##0.00\)"/>
    <numFmt numFmtId="168" formatCode="_(&quot;¤&quot;* #,##0_);_(&quot;¤&quot;* \(#,##0\);_(&quot;¤&quot;* &quot;-&quot;_);_(@_)"/>
    <numFmt numFmtId="169" formatCode="_(* #,##0_);_(* \(#,##0\);_(* &quot;-&quot;_);_(@_)"/>
    <numFmt numFmtId="170" formatCode="_(&quot;¤&quot;* #,##0.00_);_(&quot;¤&quot;* \(#,##0.00\);_(&quot;¤&quot;* &quot;-&quot;??_);_(@_)"/>
    <numFmt numFmtId="171" formatCode="_(* #,##0.00_);_(* \(#,##0.00\);_(* &quot;-&quot;??_);_(@_)"/>
    <numFmt numFmtId="172" formatCode="_-* #,##0.00_р_._-;\-* #,##0.00_р_._-;_-* \-??_р_._-;_-@_-"/>
    <numFmt numFmtId="173" formatCode="#,##0.0"/>
    <numFmt numFmtId="174" formatCode="#,##0.000"/>
    <numFmt numFmtId="175" formatCode="_-* #,##0.00_-;\-* #,##0.00_-;_-* \-??_-;_-@_-"/>
    <numFmt numFmtId="176" formatCode="0.000"/>
    <numFmt numFmtId="177" formatCode="#,##0.00;\-#,##0.00"/>
    <numFmt numFmtId="178" formatCode="0.0"/>
    <numFmt numFmtId="179" formatCode="_-* #,##0.0_-;\-* #,##0.0_-;_-* \-??_-;_-@_-"/>
    <numFmt numFmtId="180" formatCode="_-* #,##0_-;\-* #,##0_-;_-* \-??_-;_-@_-"/>
    <numFmt numFmtId="181" formatCode="#,##0.0000"/>
    <numFmt numFmtId="182" formatCode="#,##0.00000"/>
    <numFmt numFmtId="183" formatCode="0.0000"/>
    <numFmt numFmtId="184" formatCode="0.00000"/>
    <numFmt numFmtId="185" formatCode="0.000000"/>
    <numFmt numFmtId="186" formatCode="0.0000000"/>
    <numFmt numFmtId="187" formatCode="0.0%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23">
    <font>
      <sz val="11"/>
      <name val="Arial Cyr"/>
      <family val="2"/>
    </font>
    <font>
      <sz val="14"/>
      <name val="Times New Roman"/>
      <family val="1"/>
    </font>
    <font>
      <sz val="10"/>
      <name val="Arial Cyr"/>
      <family val="2"/>
    </font>
    <font>
      <sz val="14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sz val="10"/>
      <name val="Times New Roman Cyr"/>
      <family val="1"/>
    </font>
    <font>
      <sz val="12"/>
      <name val="Times New Roman CYR"/>
      <family val="1"/>
    </font>
    <font>
      <sz val="11"/>
      <name val="Times New Roman CYR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Arial Cyr"/>
      <family val="2"/>
    </font>
    <font>
      <sz val="10"/>
      <color indexed="8"/>
      <name val="Arial Cyr"/>
      <family val="2"/>
    </font>
    <font>
      <sz val="10"/>
      <color indexed="8"/>
      <name val="Times New Roman"/>
      <family val="1"/>
    </font>
    <font>
      <b/>
      <sz val="14"/>
      <name val="Times New Roman Cyr"/>
      <family val="1"/>
    </font>
    <font>
      <sz val="8"/>
      <name val="Arial Cyr"/>
      <family val="2"/>
    </font>
    <font>
      <b/>
      <sz val="14"/>
      <color indexed="10"/>
      <name val="Times New Roman"/>
      <family val="1"/>
    </font>
    <font>
      <sz val="14"/>
      <color indexed="8"/>
      <name val="Arial Cyr"/>
      <family val="0"/>
    </font>
    <font>
      <sz val="11"/>
      <color indexed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double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5" fillId="0" borderId="0" applyFill="0" applyBorder="0" applyAlignment="0" applyProtection="0"/>
    <xf numFmtId="168" fontId="5" fillId="0" borderId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ill="0" applyBorder="0" applyAlignment="0" applyProtection="0"/>
    <xf numFmtId="0" fontId="5" fillId="0" borderId="0">
      <alignment/>
      <protection/>
    </xf>
    <xf numFmtId="171" fontId="5" fillId="0" borderId="0" applyFill="0" applyBorder="0" applyAlignment="0" applyProtection="0"/>
    <xf numFmtId="169" fontId="5" fillId="0" borderId="0" applyFill="0" applyBorder="0" applyAlignment="0" applyProtection="0"/>
    <xf numFmtId="172" fontId="0" fillId="0" borderId="0" applyFill="0" applyBorder="0" applyAlignment="0" applyProtection="0"/>
  </cellStyleXfs>
  <cellXfs count="29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7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4" fontId="1" fillId="2" borderId="1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13" fillId="2" borderId="0" xfId="0" applyFont="1" applyFill="1" applyBorder="1" applyAlignment="1">
      <alignment/>
    </xf>
    <xf numFmtId="4" fontId="1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21" applyNumberFormat="1" applyFont="1" applyFill="1" applyBorder="1" applyAlignment="1">
      <alignment horizontal="center" vertical="center"/>
      <protection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1" fillId="0" borderId="1" xfId="19" applyNumberFormat="1" applyFont="1" applyBorder="1" applyAlignment="1">
      <alignment horizontal="left" vertical="center" wrapText="1"/>
      <protection/>
    </xf>
    <xf numFmtId="0" fontId="2" fillId="3" borderId="0" xfId="0" applyFont="1" applyFill="1" applyAlignment="1">
      <alignment/>
    </xf>
    <xf numFmtId="0" fontId="11" fillId="0" borderId="0" xfId="21" applyFont="1" applyFill="1" applyBorder="1">
      <alignment/>
      <protection/>
    </xf>
    <xf numFmtId="1" fontId="12" fillId="0" borderId="1" xfId="21" applyNumberFormat="1" applyFont="1" applyBorder="1" applyAlignment="1">
      <alignment horizontal="center" vertical="center"/>
      <protection/>
    </xf>
    <xf numFmtId="4" fontId="1" fillId="0" borderId="1" xfId="0" applyNumberFormat="1" applyFont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4" fontId="1" fillId="0" borderId="1" xfId="0" applyNumberFormat="1" applyFont="1" applyFill="1" applyBorder="1" applyAlignment="1">
      <alignment horizontal="right" vertical="top" wrapText="1"/>
    </xf>
    <xf numFmtId="174" fontId="1" fillId="0" borderId="3" xfId="0" applyNumberFormat="1" applyFont="1" applyBorder="1" applyAlignment="1">
      <alignment horizontal="center" vertical="center"/>
    </xf>
    <xf numFmtId="0" fontId="10" fillId="0" borderId="0" xfId="21" applyFont="1">
      <alignment/>
      <protection/>
    </xf>
    <xf numFmtId="0" fontId="4" fillId="0" borderId="0" xfId="0" applyFont="1" applyAlignment="1">
      <alignment/>
    </xf>
    <xf numFmtId="4" fontId="1" fillId="2" borderId="1" xfId="0" applyNumberFormat="1" applyFont="1" applyFill="1" applyBorder="1" applyAlignment="1">
      <alignment horizontal="right" vertical="top"/>
    </xf>
    <xf numFmtId="0" fontId="12" fillId="0" borderId="1" xfId="21" applyFont="1" applyFill="1" applyBorder="1" applyAlignment="1">
      <alignment horizontal="center" vertical="center"/>
      <protection/>
    </xf>
    <xf numFmtId="0" fontId="1" fillId="0" borderId="1" xfId="19" applyNumberFormat="1" applyFont="1" applyBorder="1" applyAlignment="1">
      <alignment horizontal="center" vertical="center" wrapText="1"/>
      <protection/>
    </xf>
    <xf numFmtId="0" fontId="7" fillId="0" borderId="1" xfId="19" applyNumberFormat="1" applyFont="1" applyBorder="1" applyAlignment="1">
      <alignment horizontal="left" vertical="center" wrapText="1"/>
      <protection/>
    </xf>
    <xf numFmtId="174" fontId="1" fillId="0" borderId="1" xfId="0" applyNumberFormat="1" applyFont="1" applyBorder="1" applyAlignment="1">
      <alignment horizontal="center" vertical="center"/>
    </xf>
    <xf numFmtId="0" fontId="13" fillId="2" borderId="0" xfId="0" applyFont="1" applyFill="1" applyAlignment="1">
      <alignment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vertical="top" wrapText="1"/>
    </xf>
    <xf numFmtId="0" fontId="5" fillId="0" borderId="0" xfId="0" applyFont="1" applyAlignment="1">
      <alignment/>
    </xf>
    <xf numFmtId="174" fontId="2" fillId="3" borderId="0" xfId="0" applyNumberFormat="1" applyFont="1" applyFill="1" applyAlignment="1">
      <alignment/>
    </xf>
    <xf numFmtId="0" fontId="1" fillId="0" borderId="1" xfId="19" applyNumberFormat="1" applyFont="1" applyBorder="1" applyAlignment="1">
      <alignment horizontal="left" vertical="center" wrapText="1" indent="2"/>
      <protection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4" fillId="0" borderId="0" xfId="0" applyFont="1" applyBorder="1" applyAlignment="1">
      <alignment horizontal="right"/>
    </xf>
    <xf numFmtId="0" fontId="4" fillId="0" borderId="0" xfId="19" applyNumberFormat="1" applyFont="1" applyBorder="1" applyAlignment="1">
      <alignment horizontal="center" vertical="center" wrapText="1"/>
      <protection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1" fillId="0" borderId="0" xfId="19" applyNumberFormat="1" applyFont="1" applyBorder="1" applyAlignment="1">
      <alignment horizontal="left" vertical="center" wrapText="1" indent="2"/>
      <protection/>
    </xf>
    <xf numFmtId="0" fontId="1" fillId="0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top" wrapText="1"/>
    </xf>
    <xf numFmtId="0" fontId="1" fillId="0" borderId="1" xfId="19" applyNumberFormat="1" applyFont="1" applyBorder="1" applyAlignment="1">
      <alignment horizontal="center" vertical="top" wrapText="1"/>
      <protection/>
    </xf>
    <xf numFmtId="0" fontId="1" fillId="0" borderId="1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4" fillId="0" borderId="0" xfId="0" applyFont="1" applyFill="1" applyAlignment="1">
      <alignment horizontal="right"/>
    </xf>
    <xf numFmtId="0" fontId="3" fillId="0" borderId="0" xfId="0" applyFont="1" applyAlignment="1">
      <alignment/>
    </xf>
    <xf numFmtId="4" fontId="1" fillId="0" borderId="0" xfId="19" applyNumberFormat="1" applyFont="1" applyBorder="1" applyAlignment="1">
      <alignment horizontal="center" vertical="center" wrapText="1"/>
      <protection/>
    </xf>
    <xf numFmtId="173" fontId="2" fillId="0" borderId="0" xfId="0" applyNumberFormat="1" applyFont="1" applyAlignment="1">
      <alignment/>
    </xf>
    <xf numFmtId="0" fontId="3" fillId="0" borderId="1" xfId="0" applyFont="1" applyBorder="1" applyAlignment="1">
      <alignment vertical="top" wrapText="1"/>
    </xf>
    <xf numFmtId="0" fontId="1" fillId="0" borderId="3" xfId="19" applyNumberFormat="1" applyFont="1" applyBorder="1" applyAlignment="1">
      <alignment horizontal="center" vertical="center" wrapText="1"/>
      <protection/>
    </xf>
    <xf numFmtId="0" fontId="1" fillId="0" borderId="3" xfId="19" applyNumberFormat="1" applyFont="1" applyBorder="1" applyAlignment="1">
      <alignment horizontal="left" vertical="center" wrapText="1"/>
      <protection/>
    </xf>
    <xf numFmtId="16" fontId="13" fillId="2" borderId="0" xfId="0" applyNumberFormat="1" applyFont="1" applyFill="1" applyBorder="1" applyAlignment="1">
      <alignment/>
    </xf>
    <xf numFmtId="0" fontId="10" fillId="0" borderId="0" xfId="21" applyFont="1" applyAlignment="1">
      <alignment wrapText="1"/>
      <protection/>
    </xf>
    <xf numFmtId="0" fontId="10" fillId="0" borderId="0" xfId="21" applyFont="1" applyAlignment="1">
      <alignment horizontal="center" vertical="center" wrapText="1"/>
      <protection/>
    </xf>
    <xf numFmtId="0" fontId="1" fillId="0" borderId="1" xfId="19" applyNumberFormat="1" applyFont="1" applyFill="1" applyBorder="1" applyAlignment="1">
      <alignment horizontal="left" vertical="center" wrapText="1"/>
      <protection/>
    </xf>
    <xf numFmtId="0" fontId="1" fillId="0" borderId="1" xfId="19" applyNumberFormat="1" applyFont="1" applyFill="1" applyBorder="1" applyAlignment="1">
      <alignment horizontal="center" vertical="top" wrapText="1"/>
      <protection/>
    </xf>
    <xf numFmtId="173" fontId="1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1" xfId="0" applyNumberFormat="1" applyFont="1" applyFill="1" applyBorder="1" applyAlignment="1">
      <alignment horizontal="center" vertical="top" wrapText="1"/>
    </xf>
    <xf numFmtId="175" fontId="1" fillId="2" borderId="1" xfId="0" applyNumberFormat="1" applyFont="1" applyFill="1" applyBorder="1" applyAlignment="1">
      <alignment horizontal="center" vertical="center" wrapText="1"/>
    </xf>
    <xf numFmtId="0" fontId="8" fillId="0" borderId="0" xfId="21" applyFont="1" applyAlignment="1">
      <alignment horizontal="right"/>
      <protection/>
    </xf>
    <xf numFmtId="0" fontId="12" fillId="0" borderId="1" xfId="21" applyFont="1" applyFill="1" applyBorder="1" applyAlignment="1">
      <alignment horizontal="center" vertical="center" wrapText="1"/>
      <protection/>
    </xf>
    <xf numFmtId="0" fontId="15" fillId="2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7" fillId="0" borderId="1" xfId="19" applyNumberFormat="1" applyFont="1" applyBorder="1" applyAlignment="1">
      <alignment horizontal="left" vertical="top" wrapText="1"/>
      <protection/>
    </xf>
    <xf numFmtId="0" fontId="10" fillId="0" borderId="0" xfId="21" applyFont="1" applyAlignment="1">
      <alignment horizontal="center" vertical="center"/>
      <protection/>
    </xf>
    <xf numFmtId="173" fontId="2" fillId="0" borderId="0" xfId="0" applyNumberFormat="1" applyFont="1" applyBorder="1" applyAlignment="1">
      <alignment horizontal="right"/>
    </xf>
    <xf numFmtId="0" fontId="1" fillId="0" borderId="4" xfId="19" applyNumberFormat="1" applyFont="1" applyBorder="1" applyAlignment="1">
      <alignment horizontal="center" vertical="center" wrapText="1"/>
      <protection/>
    </xf>
    <xf numFmtId="0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6" fillId="0" borderId="1" xfId="21" applyFont="1" applyFill="1" applyBorder="1" applyAlignment="1">
      <alignment horizontal="center" vertical="center"/>
      <protection/>
    </xf>
    <xf numFmtId="173" fontId="1" fillId="0" borderId="1" xfId="19" applyNumberFormat="1" applyFont="1" applyBorder="1" applyAlignment="1">
      <alignment horizontal="center" vertical="center" wrapText="1"/>
      <protection/>
    </xf>
    <xf numFmtId="0" fontId="4" fillId="0" borderId="0" xfId="19" applyNumberFormat="1" applyFont="1" applyBorder="1" applyAlignment="1">
      <alignment horizontal="left" vertical="center" wrapText="1"/>
      <protection/>
    </xf>
    <xf numFmtId="0" fontId="2" fillId="0" borderId="2" xfId="0" applyFont="1" applyBorder="1" applyAlignment="1">
      <alignment/>
    </xf>
    <xf numFmtId="0" fontId="6" fillId="0" borderId="1" xfId="20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vertical="top" wrapText="1"/>
    </xf>
    <xf numFmtId="0" fontId="11" fillId="0" borderId="0" xfId="21" applyFont="1">
      <alignment/>
      <protection/>
    </xf>
    <xf numFmtId="0" fontId="9" fillId="0" borderId="1" xfId="0" applyFont="1" applyBorder="1" applyAlignment="1">
      <alignment horizontal="left" vertical="top" wrapText="1" indent="1"/>
    </xf>
    <xf numFmtId="0" fontId="1" fillId="0" borderId="0" xfId="19" applyNumberFormat="1" applyFont="1" applyBorder="1" applyAlignment="1">
      <alignment horizontal="left" vertical="center" wrapText="1"/>
      <protection/>
    </xf>
    <xf numFmtId="49" fontId="1" fillId="0" borderId="0" xfId="0" applyNumberFormat="1" applyFont="1" applyFill="1" applyBorder="1" applyAlignment="1">
      <alignment horizontal="right"/>
    </xf>
    <xf numFmtId="0" fontId="16" fillId="0" borderId="0" xfId="0" applyFont="1" applyFill="1" applyAlignment="1">
      <alignment/>
    </xf>
    <xf numFmtId="0" fontId="11" fillId="0" borderId="0" xfId="21" applyFont="1" applyFill="1">
      <alignment/>
      <protection/>
    </xf>
    <xf numFmtId="0" fontId="1" fillId="0" borderId="1" xfId="19" applyNumberFormat="1" applyFont="1" applyBorder="1" applyAlignment="1">
      <alignment horizontal="left" vertical="top" wrapText="1"/>
      <protection/>
    </xf>
    <xf numFmtId="0" fontId="1" fillId="0" borderId="4" xfId="19" applyNumberFormat="1" applyFont="1" applyBorder="1" applyAlignment="1">
      <alignment horizontal="left" vertical="center" wrapText="1" indent="2"/>
      <protection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Fill="1" applyBorder="1" applyAlignment="1">
      <alignment vertical="top" wrapText="1"/>
    </xf>
    <xf numFmtId="0" fontId="14" fillId="0" borderId="5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4" fillId="0" borderId="7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left" vertical="top" wrapText="1"/>
    </xf>
    <xf numFmtId="173" fontId="1" fillId="0" borderId="0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left" wrapText="1"/>
    </xf>
    <xf numFmtId="0" fontId="14" fillId="0" borderId="8" xfId="0" applyFont="1" applyBorder="1" applyAlignment="1">
      <alignment horizontal="center" vertical="center" wrapText="1"/>
    </xf>
    <xf numFmtId="176" fontId="14" fillId="0" borderId="8" xfId="0" applyNumberFormat="1" applyFont="1" applyBorder="1" applyAlignment="1">
      <alignment horizontal="center" vertical="center"/>
    </xf>
    <xf numFmtId="176" fontId="7" fillId="4" borderId="8" xfId="0" applyNumberFormat="1" applyFont="1" applyFill="1" applyBorder="1" applyAlignment="1">
      <alignment horizontal="center" vertical="center"/>
    </xf>
    <xf numFmtId="176" fontId="7" fillId="4" borderId="9" xfId="0" applyNumberFormat="1" applyFont="1" applyFill="1" applyBorder="1" applyAlignment="1">
      <alignment horizontal="center" vertical="center"/>
    </xf>
    <xf numFmtId="2" fontId="14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wrapText="1"/>
    </xf>
    <xf numFmtId="176" fontId="14" fillId="0" borderId="7" xfId="0" applyNumberFormat="1" applyFont="1" applyBorder="1" applyAlignment="1">
      <alignment horizontal="center" vertical="center"/>
    </xf>
    <xf numFmtId="176" fontId="1" fillId="4" borderId="8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vertical="center" wrapText="1"/>
    </xf>
    <xf numFmtId="176" fontId="14" fillId="0" borderId="10" xfId="0" applyNumberFormat="1" applyFont="1" applyBorder="1" applyAlignment="1">
      <alignment horizontal="center" vertical="center"/>
    </xf>
    <xf numFmtId="176" fontId="14" fillId="0" borderId="11" xfId="0" applyNumberFormat="1" applyFont="1" applyBorder="1" applyAlignment="1">
      <alignment horizontal="center" vertical="center"/>
    </xf>
    <xf numFmtId="176" fontId="1" fillId="4" borderId="10" xfId="0" applyNumberFormat="1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wrapText="1"/>
    </xf>
    <xf numFmtId="176" fontId="3" fillId="0" borderId="10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left" vertical="center" wrapText="1"/>
    </xf>
    <xf numFmtId="176" fontId="14" fillId="4" borderId="8" xfId="0" applyNumberFormat="1" applyFont="1" applyFill="1" applyBorder="1" applyAlignment="1">
      <alignment horizontal="center" vertical="center"/>
    </xf>
    <xf numFmtId="176" fontId="7" fillId="4" borderId="6" xfId="0" applyNumberFormat="1" applyFont="1" applyFill="1" applyBorder="1" applyAlignment="1">
      <alignment horizontal="center" vertical="center"/>
    </xf>
    <xf numFmtId="176" fontId="3" fillId="4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vertical="center" wrapText="1"/>
    </xf>
    <xf numFmtId="176" fontId="14" fillId="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14" fillId="0" borderId="10" xfId="0" applyFont="1" applyBorder="1" applyAlignment="1">
      <alignment horizontal="left" vertical="center" wrapText="1"/>
    </xf>
    <xf numFmtId="0" fontId="3" fillId="0" borderId="8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176" fontId="3" fillId="4" borderId="8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176" fontId="1" fillId="4" borderId="6" xfId="0" applyNumberFormat="1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left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/>
    </xf>
    <xf numFmtId="176" fontId="14" fillId="4" borderId="7" xfId="0" applyNumberFormat="1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center" vertical="center"/>
    </xf>
    <xf numFmtId="176" fontId="14" fillId="4" borderId="8" xfId="0" applyNumberFormat="1" applyFont="1" applyFill="1" applyBorder="1" applyAlignment="1">
      <alignment horizontal="center" vertical="center" wrapText="1"/>
    </xf>
    <xf numFmtId="0" fontId="14" fillId="0" borderId="8" xfId="0" applyFont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/>
    </xf>
    <xf numFmtId="176" fontId="14" fillId="4" borderId="13" xfId="0" applyNumberFormat="1" applyFont="1" applyFill="1" applyBorder="1" applyAlignment="1">
      <alignment horizontal="center" vertical="center"/>
    </xf>
    <xf numFmtId="176" fontId="14" fillId="0" borderId="13" xfId="0" applyNumberFormat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center" vertical="center" wrapText="1"/>
    </xf>
    <xf numFmtId="176" fontId="3" fillId="0" borderId="8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178" fontId="7" fillId="0" borderId="11" xfId="0" applyNumberFormat="1" applyFont="1" applyBorder="1" applyAlignment="1">
      <alignment horizontal="center" vertical="center"/>
    </xf>
    <xf numFmtId="178" fontId="7" fillId="4" borderId="10" xfId="0" applyNumberFormat="1" applyFont="1" applyFill="1" applyBorder="1" applyAlignment="1">
      <alignment horizontal="center" vertical="center"/>
    </xf>
    <xf numFmtId="2" fontId="14" fillId="4" borderId="10" xfId="0" applyNumberFormat="1" applyFont="1" applyFill="1" applyBorder="1" applyAlignment="1">
      <alignment horizontal="center" vertical="center"/>
    </xf>
    <xf numFmtId="178" fontId="14" fillId="4" borderId="10" xfId="0" applyNumberFormat="1" applyFont="1" applyFill="1" applyBorder="1" applyAlignment="1">
      <alignment horizontal="center" vertical="center"/>
    </xf>
    <xf numFmtId="2" fontId="14" fillId="4" borderId="8" xfId="0" applyNumberFormat="1" applyFont="1" applyFill="1" applyBorder="1" applyAlignment="1">
      <alignment horizontal="center" vertical="center"/>
    </xf>
    <xf numFmtId="178" fontId="14" fillId="4" borderId="13" xfId="0" applyNumberFormat="1" applyFont="1" applyFill="1" applyBorder="1" applyAlignment="1">
      <alignment horizontal="center" vertical="center"/>
    </xf>
    <xf numFmtId="178" fontId="3" fillId="4" borderId="8" xfId="0" applyNumberFormat="1" applyFont="1" applyFill="1" applyBorder="1" applyAlignment="1">
      <alignment horizontal="center" vertical="center"/>
    </xf>
    <xf numFmtId="2" fontId="3" fillId="4" borderId="10" xfId="0" applyNumberFormat="1" applyFont="1" applyFill="1" applyBorder="1" applyAlignment="1">
      <alignment horizontal="center" vertical="center"/>
    </xf>
    <xf numFmtId="0" fontId="1" fillId="0" borderId="8" xfId="21" applyFont="1" applyFill="1" applyBorder="1" applyAlignment="1">
      <alignment horizontal="center" vertical="center"/>
      <protection/>
    </xf>
    <xf numFmtId="0" fontId="1" fillId="0" borderId="8" xfId="21" applyFont="1" applyFill="1" applyBorder="1" applyAlignment="1">
      <alignment horizontal="left" vertical="center" wrapText="1"/>
      <protection/>
    </xf>
    <xf numFmtId="0" fontId="8" fillId="0" borderId="8" xfId="21" applyFont="1" applyFill="1" applyBorder="1" applyAlignment="1">
      <alignment horizontal="center" vertical="center" wrapText="1"/>
      <protection/>
    </xf>
    <xf numFmtId="176" fontId="8" fillId="0" borderId="8" xfId="21" applyNumberFormat="1" applyFont="1" applyFill="1" applyBorder="1" applyAlignment="1">
      <alignment horizontal="center" vertical="center" wrapText="1"/>
      <protection/>
    </xf>
    <xf numFmtId="176" fontId="8" fillId="4" borderId="8" xfId="21" applyNumberFormat="1" applyFont="1" applyFill="1" applyBorder="1" applyAlignment="1">
      <alignment horizontal="center" vertical="center"/>
      <protection/>
    </xf>
    <xf numFmtId="0" fontId="8" fillId="4" borderId="8" xfId="21" applyFont="1" applyFill="1" applyBorder="1" applyAlignment="1">
      <alignment horizontal="center" vertical="center"/>
      <protection/>
    </xf>
    <xf numFmtId="0" fontId="8" fillId="0" borderId="8" xfId="21" applyFont="1" applyBorder="1" applyAlignment="1">
      <alignment horizontal="center" vertical="center"/>
      <protection/>
    </xf>
    <xf numFmtId="178" fontId="8" fillId="0" borderId="8" xfId="21" applyNumberFormat="1" applyFont="1" applyFill="1" applyBorder="1" applyAlignment="1">
      <alignment horizontal="center" vertical="center" wrapText="1"/>
      <protection/>
    </xf>
    <xf numFmtId="0" fontId="11" fillId="0" borderId="8" xfId="21" applyFont="1" applyBorder="1">
      <alignment/>
      <protection/>
    </xf>
    <xf numFmtId="0" fontId="8" fillId="0" borderId="8" xfId="21" applyFont="1" applyFill="1" applyBorder="1" applyAlignment="1">
      <alignment horizontal="left" vertical="center" wrapText="1"/>
      <protection/>
    </xf>
    <xf numFmtId="0" fontId="8" fillId="0" borderId="8" xfId="21" applyFont="1" applyFill="1" applyBorder="1" applyAlignment="1">
      <alignment horizontal="center" vertical="center"/>
      <protection/>
    </xf>
    <xf numFmtId="2" fontId="8" fillId="0" borderId="8" xfId="21" applyNumberFormat="1" applyFont="1" applyFill="1" applyBorder="1" applyAlignment="1">
      <alignment horizontal="center" vertical="center" wrapText="1"/>
      <protection/>
    </xf>
    <xf numFmtId="1" fontId="8" fillId="0" borderId="8" xfId="21" applyNumberFormat="1" applyFont="1" applyFill="1" applyBorder="1" applyAlignment="1">
      <alignment horizontal="center" vertical="center" wrapText="1"/>
      <protection/>
    </xf>
    <xf numFmtId="174" fontId="8" fillId="0" borderId="8" xfId="21" applyNumberFormat="1" applyFont="1" applyBorder="1" applyAlignment="1">
      <alignment horizontal="center" vertical="center"/>
      <protection/>
    </xf>
    <xf numFmtId="1" fontId="7" fillId="0" borderId="14" xfId="20" applyNumberFormat="1" applyFont="1" applyFill="1" applyBorder="1" applyAlignment="1">
      <alignment horizontal="center" vertical="center" wrapText="1"/>
      <protection/>
    </xf>
    <xf numFmtId="0" fontId="7" fillId="0" borderId="15" xfId="0" applyFont="1" applyFill="1" applyBorder="1" applyAlignment="1">
      <alignment vertical="top" wrapText="1"/>
    </xf>
    <xf numFmtId="0" fontId="7" fillId="0" borderId="14" xfId="21" applyFont="1" applyFill="1" applyBorder="1" applyAlignment="1">
      <alignment horizontal="center" vertical="center"/>
      <protection/>
    </xf>
    <xf numFmtId="0" fontId="7" fillId="0" borderId="14" xfId="21" applyFont="1" applyFill="1" applyBorder="1" applyAlignment="1">
      <alignment horizontal="center" vertical="center" wrapText="1"/>
      <protection/>
    </xf>
    <xf numFmtId="176" fontId="7" fillId="0" borderId="14" xfId="21" applyNumberFormat="1" applyFont="1" applyFill="1" applyBorder="1" applyAlignment="1">
      <alignment horizontal="center" vertical="center" wrapText="1"/>
      <protection/>
    </xf>
    <xf numFmtId="176" fontId="7" fillId="0" borderId="14" xfId="21" applyNumberFormat="1" applyFont="1" applyFill="1" applyBorder="1" applyAlignment="1">
      <alignment horizontal="center" vertical="center"/>
      <protection/>
    </xf>
    <xf numFmtId="174" fontId="7" fillId="4" borderId="14" xfId="0" applyNumberFormat="1" applyFont="1" applyFill="1" applyBorder="1" applyAlignment="1">
      <alignment horizontal="center" vertical="center"/>
    </xf>
    <xf numFmtId="174" fontId="7" fillId="0" borderId="14" xfId="0" applyNumberFormat="1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top" wrapText="1"/>
    </xf>
    <xf numFmtId="0" fontId="21" fillId="0" borderId="17" xfId="0" applyFont="1" applyFill="1" applyBorder="1" applyAlignment="1">
      <alignment horizontal="center" vertical="top" wrapText="1"/>
    </xf>
    <xf numFmtId="0" fontId="15" fillId="0" borderId="8" xfId="0" applyFont="1" applyFill="1" applyBorder="1" applyAlignment="1">
      <alignment horizontal="center" vertical="top" wrapText="1"/>
    </xf>
    <xf numFmtId="0" fontId="15" fillId="0" borderId="6" xfId="0" applyFont="1" applyFill="1" applyBorder="1" applyAlignment="1">
      <alignment horizontal="center" vertical="top" wrapText="1"/>
    </xf>
    <xf numFmtId="0" fontId="15" fillId="0" borderId="18" xfId="0" applyFont="1" applyFill="1" applyBorder="1" applyAlignment="1">
      <alignment horizontal="center" vertical="top" wrapText="1"/>
    </xf>
    <xf numFmtId="49" fontId="15" fillId="0" borderId="19" xfId="0" applyNumberFormat="1" applyFont="1" applyFill="1" applyBorder="1" applyAlignment="1">
      <alignment horizontal="center" vertical="top" wrapText="1"/>
    </xf>
    <xf numFmtId="0" fontId="15" fillId="0" borderId="19" xfId="0" applyFont="1" applyFill="1" applyBorder="1" applyAlignment="1">
      <alignment horizontal="center" vertical="top" wrapText="1"/>
    </xf>
    <xf numFmtId="0" fontId="21" fillId="0" borderId="8" xfId="0" applyFont="1" applyFill="1" applyBorder="1" applyAlignment="1">
      <alignment horizontal="center" vertical="top" wrapText="1"/>
    </xf>
    <xf numFmtId="0" fontId="21" fillId="0" borderId="8" xfId="0" applyFont="1" applyFill="1" applyBorder="1" applyAlignment="1">
      <alignment horizontal="left" vertical="top" wrapText="1"/>
    </xf>
    <xf numFmtId="49" fontId="15" fillId="0" borderId="8" xfId="0" applyNumberFormat="1" applyFont="1" applyFill="1" applyBorder="1" applyAlignment="1">
      <alignment horizontal="center" vertical="top" wrapText="1"/>
    </xf>
    <xf numFmtId="0" fontId="15" fillId="0" borderId="16" xfId="0" applyFont="1" applyFill="1" applyBorder="1" applyAlignment="1">
      <alignment horizontal="center" vertical="top" wrapText="1"/>
    </xf>
    <xf numFmtId="0" fontId="15" fillId="0" borderId="17" xfId="0" applyFont="1" applyFill="1" applyBorder="1" applyAlignment="1">
      <alignment horizontal="center" vertical="top" wrapText="1"/>
    </xf>
    <xf numFmtId="49" fontId="15" fillId="0" borderId="0" xfId="0" applyNumberFormat="1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5" fillId="0" borderId="9" xfId="0" applyFont="1" applyFill="1" applyBorder="1" applyAlignment="1">
      <alignment horizontal="center" vertical="top" wrapText="1"/>
    </xf>
    <xf numFmtId="49" fontId="15" fillId="0" borderId="6" xfId="0" applyNumberFormat="1" applyFont="1" applyFill="1" applyBorder="1" applyAlignment="1">
      <alignment horizontal="center" vertical="top" wrapText="1"/>
    </xf>
    <xf numFmtId="49" fontId="15" fillId="0" borderId="5" xfId="0" applyNumberFormat="1" applyFont="1" applyFill="1" applyBorder="1" applyAlignment="1">
      <alignment horizontal="center" vertical="top" wrapText="1"/>
    </xf>
    <xf numFmtId="0" fontId="15" fillId="0" borderId="8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 horizontal="center" vertical="top" wrapText="1"/>
    </xf>
    <xf numFmtId="49" fontId="15" fillId="0" borderId="18" xfId="0" applyNumberFormat="1" applyFont="1" applyFill="1" applyBorder="1" applyAlignment="1">
      <alignment horizontal="center" vertical="top" wrapText="1"/>
    </xf>
    <xf numFmtId="49" fontId="15" fillId="0" borderId="16" xfId="0" applyNumberFormat="1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22" fillId="0" borderId="18" xfId="0" applyFont="1" applyFill="1" applyBorder="1" applyAlignment="1">
      <alignment horizontal="center" vertical="top" wrapText="1"/>
    </xf>
    <xf numFmtId="0" fontId="22" fillId="0" borderId="8" xfId="0" applyFont="1" applyFill="1" applyBorder="1" applyAlignment="1">
      <alignment horizontal="center" vertical="top" wrapText="1"/>
    </xf>
    <xf numFmtId="0" fontId="21" fillId="0" borderId="20" xfId="0" applyFont="1" applyFill="1" applyBorder="1" applyAlignment="1">
      <alignment horizontal="left" vertical="top" wrapText="1"/>
    </xf>
    <xf numFmtId="0" fontId="21" fillId="0" borderId="21" xfId="0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horizontal="left" vertical="top" wrapText="1"/>
    </xf>
    <xf numFmtId="0" fontId="15" fillId="0" borderId="21" xfId="0" applyFont="1" applyFill="1" applyBorder="1" applyAlignment="1">
      <alignment horizontal="left" vertical="top" wrapText="1"/>
    </xf>
    <xf numFmtId="0" fontId="15" fillId="0" borderId="20" xfId="0" applyFont="1" applyFill="1" applyBorder="1" applyAlignment="1">
      <alignment horizontal="left" vertical="top" wrapText="1"/>
    </xf>
    <xf numFmtId="0" fontId="15" fillId="0" borderId="7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8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/>
    </xf>
    <xf numFmtId="0" fontId="3" fillId="0" borderId="8" xfId="0" applyFont="1" applyBorder="1" applyAlignment="1">
      <alignment wrapText="1"/>
    </xf>
    <xf numFmtId="0" fontId="1" fillId="0" borderId="8" xfId="0" applyFont="1" applyBorder="1" applyAlignment="1">
      <alignment horizontal="center" wrapText="1"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wrapText="1"/>
    </xf>
    <xf numFmtId="0" fontId="1" fillId="0" borderId="8" xfId="0" applyFont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wrapText="1"/>
    </xf>
    <xf numFmtId="0" fontId="9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4" fillId="0" borderId="2" xfId="0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1" fillId="0" borderId="22" xfId="19" applyNumberFormat="1" applyFont="1" applyBorder="1" applyAlignment="1">
      <alignment horizontal="center" vertical="center" wrapText="1"/>
      <protection/>
    </xf>
    <xf numFmtId="0" fontId="14" fillId="0" borderId="7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wrapText="1"/>
    </xf>
    <xf numFmtId="9" fontId="8" fillId="2" borderId="1" xfId="22" applyFont="1" applyFill="1" applyBorder="1" applyAlignment="1" applyProtection="1">
      <alignment horizontal="center" vertical="center" wrapText="1"/>
      <protection/>
    </xf>
    <xf numFmtId="0" fontId="8" fillId="2" borderId="1" xfId="21" applyFont="1" applyFill="1" applyBorder="1" applyAlignment="1">
      <alignment horizontal="center" vertical="center" wrapText="1"/>
      <protection/>
    </xf>
    <xf numFmtId="0" fontId="8" fillId="0" borderId="1" xfId="21" applyFont="1" applyBorder="1" applyAlignment="1">
      <alignment horizontal="center" vertical="center" wrapText="1"/>
      <protection/>
    </xf>
    <xf numFmtId="0" fontId="8" fillId="0" borderId="1" xfId="20" applyFont="1" applyBorder="1" applyAlignment="1">
      <alignment horizontal="center" vertical="center" wrapText="1"/>
      <protection/>
    </xf>
    <xf numFmtId="0" fontId="18" fillId="0" borderId="2" xfId="21" applyFont="1" applyBorder="1" applyAlignment="1">
      <alignment horizontal="center" vertical="center" wrapText="1"/>
      <protection/>
    </xf>
    <xf numFmtId="0" fontId="8" fillId="0" borderId="1" xfId="21" applyFont="1" applyBorder="1" applyAlignment="1">
      <alignment horizontal="center" vertical="center" textRotation="90" wrapText="1"/>
      <protection/>
    </xf>
    <xf numFmtId="0" fontId="7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0" fontId="3" fillId="0" borderId="3" xfId="0" applyFont="1" applyBorder="1" applyAlignment="1">
      <alignment vertical="center" wrapText="1"/>
    </xf>
    <xf numFmtId="0" fontId="3" fillId="0" borderId="0" xfId="0" applyFont="1" applyBorder="1" applyAlignment="1">
      <alignment horizontal="right"/>
    </xf>
    <xf numFmtId="0" fontId="14" fillId="0" borderId="0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9" fillId="4" borderId="8" xfId="0" applyFont="1" applyFill="1" applyBorder="1" applyAlignment="1">
      <alignment horizontal="center" vertical="top" wrapText="1"/>
    </xf>
    <xf numFmtId="0" fontId="9" fillId="4" borderId="8" xfId="0" applyFont="1" applyFill="1" applyBorder="1" applyAlignment="1">
      <alignment vertical="top" wrapText="1"/>
    </xf>
    <xf numFmtId="177" fontId="3" fillId="0" borderId="4" xfId="0" applyNumberFormat="1" applyFont="1" applyBorder="1" applyAlignment="1">
      <alignment horizontal="center" vertical="center" wrapText="1"/>
    </xf>
    <xf numFmtId="177" fontId="3" fillId="0" borderId="8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177" fontId="3" fillId="0" borderId="24" xfId="0" applyNumberFormat="1" applyFont="1" applyBorder="1" applyAlignment="1">
      <alignment horizontal="center" vertical="center" wrapText="1"/>
    </xf>
    <xf numFmtId="177" fontId="3" fillId="0" borderId="6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8" xfId="0" applyFont="1" applyBorder="1" applyAlignment="1">
      <alignment horizontal="center" wrapText="1"/>
    </xf>
  </cellXfs>
  <cellStyles count="13">
    <cellStyle name="Normal" xfId="0"/>
    <cellStyle name="normal 1" xfId="15"/>
    <cellStyle name="Currency" xfId="16"/>
    <cellStyle name="Currency [0]" xfId="17"/>
    <cellStyle name="Обычный 2" xfId="18"/>
    <cellStyle name="Обычный_337600000004" xfId="19"/>
    <cellStyle name="Обычный_Капремонта 2012-2013 УТВЕРЖ 26 12 2011ПОСЛЕДНИЙ" xfId="20"/>
    <cellStyle name="Обычный_формы рем. 2004" xfId="21"/>
    <cellStyle name="Percent" xfId="22"/>
    <cellStyle name="Стиль 1" xfId="23"/>
    <cellStyle name="Comma" xfId="24"/>
    <cellStyle name="Comma [0]" xfId="25"/>
    <cellStyle name="Финансовый 2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view="pageBreakPreview" zoomScale="75" zoomScaleNormal="75" zoomScaleSheetLayoutView="75" workbookViewId="0" topLeftCell="A1">
      <selection activeCell="A6" sqref="A6"/>
    </sheetView>
  </sheetViews>
  <sheetFormatPr defaultColWidth="9.3984375" defaultRowHeight="14.25"/>
  <cols>
    <col min="1" max="1" width="79" style="4" customWidth="1"/>
    <col min="2" max="2" width="14" style="18" customWidth="1"/>
    <col min="3" max="3" width="15.3984375" style="4" customWidth="1"/>
    <col min="4" max="4" width="12.5" style="4" customWidth="1"/>
    <col min="5" max="5" width="12.69921875" style="4" customWidth="1"/>
    <col min="6" max="12" width="9" style="4" customWidth="1"/>
    <col min="13" max="13" width="9.3984375" style="4" customWidth="1"/>
    <col min="14" max="16384" width="9" style="4" customWidth="1"/>
  </cols>
  <sheetData>
    <row r="1" spans="1:13" ht="18.75">
      <c r="A1" s="35"/>
      <c r="B1" s="66"/>
      <c r="C1" s="66"/>
      <c r="D1" s="35"/>
      <c r="E1" s="24" t="s">
        <v>0</v>
      </c>
      <c r="M1" s="4">
        <v>2016</v>
      </c>
    </row>
    <row r="2" spans="1:5" ht="24.75" customHeight="1">
      <c r="A2" s="253" t="s">
        <v>1</v>
      </c>
      <c r="B2" s="253"/>
      <c r="C2" s="253"/>
      <c r="D2" s="253"/>
      <c r="E2" s="253"/>
    </row>
    <row r="3" spans="1:5" ht="18.75" customHeight="1">
      <c r="A3" s="254" t="s">
        <v>3</v>
      </c>
      <c r="B3" s="254" t="s">
        <v>4</v>
      </c>
      <c r="C3" s="254"/>
      <c r="D3" s="254"/>
      <c r="E3" s="254"/>
    </row>
    <row r="4" spans="1:5" ht="37.5" customHeight="1">
      <c r="A4" s="254"/>
      <c r="B4" s="255" t="s">
        <v>2</v>
      </c>
      <c r="C4" s="255"/>
      <c r="D4" s="254" t="str">
        <f>$M$1+1&amp;" год"</f>
        <v>2017 год</v>
      </c>
      <c r="E4" s="254" t="str">
        <f>$M$1+2&amp;" год"</f>
        <v>2018 год</v>
      </c>
    </row>
    <row r="5" spans="1:5" ht="37.5">
      <c r="A5" s="254"/>
      <c r="B5" s="17" t="s">
        <v>5</v>
      </c>
      <c r="C5" s="17" t="s">
        <v>6</v>
      </c>
      <c r="D5" s="254"/>
      <c r="E5" s="254"/>
    </row>
    <row r="6" spans="1:5" s="26" customFormat="1" ht="93.75" customHeight="1">
      <c r="A6" s="86" t="s">
        <v>12</v>
      </c>
      <c r="B6" s="29">
        <f>B8+B9+B10</f>
        <v>6.02875</v>
      </c>
      <c r="C6" s="29">
        <f>C8+C9+C10</f>
        <v>6.2473399999999994</v>
      </c>
      <c r="D6" s="29">
        <f>D8+D9+D10</f>
        <v>0</v>
      </c>
      <c r="E6" s="29">
        <f>E8+E9+E10</f>
        <v>0</v>
      </c>
    </row>
    <row r="7" spans="1:5" ht="83.25" customHeight="1">
      <c r="A7" s="86" t="s">
        <v>7</v>
      </c>
      <c r="B7" s="29">
        <f>5201.62/1000</f>
        <v>5.20162</v>
      </c>
      <c r="C7" s="29">
        <f>6247.35/1000</f>
        <v>6.24735</v>
      </c>
      <c r="D7" s="29">
        <f aca="true" t="shared" si="0" ref="D7:E10">0/1000</f>
        <v>0</v>
      </c>
      <c r="E7" s="29">
        <f t="shared" si="0"/>
        <v>0</v>
      </c>
    </row>
    <row r="8" spans="1:5" ht="47.25" customHeight="1">
      <c r="A8" s="106" t="s">
        <v>8</v>
      </c>
      <c r="B8" s="29">
        <f>3515.89/1000</f>
        <v>3.5158899999999997</v>
      </c>
      <c r="C8" s="29">
        <f>3604.05/1000</f>
        <v>3.60405</v>
      </c>
      <c r="D8" s="59">
        <f t="shared" si="0"/>
        <v>0</v>
      </c>
      <c r="E8" s="59">
        <f t="shared" si="0"/>
        <v>0</v>
      </c>
    </row>
    <row r="9" spans="1:5" ht="18.75">
      <c r="A9" s="106" t="s">
        <v>9</v>
      </c>
      <c r="B9" s="23">
        <f>961.52/1000</f>
        <v>0.9615199999999999</v>
      </c>
      <c r="C9" s="23">
        <f>1139.44/1000</f>
        <v>1.13944</v>
      </c>
      <c r="D9" s="23">
        <f t="shared" si="0"/>
        <v>0</v>
      </c>
      <c r="E9" s="23">
        <f t="shared" si="0"/>
        <v>0</v>
      </c>
    </row>
    <row r="10" spans="1:5" ht="41.25" customHeight="1">
      <c r="A10" s="106" t="s">
        <v>10</v>
      </c>
      <c r="B10" s="23">
        <f>1551.34/1000</f>
        <v>1.55134</v>
      </c>
      <c r="C10" s="23">
        <f>1503.85/1000</f>
        <v>1.50385</v>
      </c>
      <c r="D10" s="23">
        <f t="shared" si="0"/>
        <v>0</v>
      </c>
      <c r="E10" s="23">
        <f t="shared" si="0"/>
        <v>0</v>
      </c>
    </row>
    <row r="11" spans="1:5" s="91" customFormat="1" ht="65.25" customHeight="1">
      <c r="A11" s="65"/>
      <c r="B11" s="251" t="s">
        <v>13</v>
      </c>
      <c r="C11" s="251"/>
      <c r="D11" s="252"/>
      <c r="E11" s="252"/>
    </row>
    <row r="12" spans="1:5" s="91" customFormat="1" ht="46.5" customHeight="1">
      <c r="A12" s="57"/>
      <c r="B12" s="63" t="s">
        <v>14</v>
      </c>
      <c r="C12" s="103"/>
      <c r="D12" s="56"/>
      <c r="E12" s="56"/>
    </row>
    <row r="13" ht="16.5" customHeight="1"/>
  </sheetData>
  <mergeCells count="8">
    <mergeCell ref="B11:C11"/>
    <mergeCell ref="D11:E11"/>
    <mergeCell ref="A2:E2"/>
    <mergeCell ref="A3:A5"/>
    <mergeCell ref="B3:E3"/>
    <mergeCell ref="B4:C4"/>
    <mergeCell ref="D4:D5"/>
    <mergeCell ref="E4:E5"/>
  </mergeCells>
  <printOptions/>
  <pageMargins left="0.39375" right="0" top="0.19652777777777777" bottom="0" header="0.5118055555555555" footer="0.5118055555555555"/>
  <pageSetup horizontalDpi="300" verticalDpi="3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2"/>
  <sheetViews>
    <sheetView view="pageBreakPreview" zoomScale="75" zoomScaleNormal="75" zoomScaleSheetLayoutView="75" workbookViewId="0" topLeftCell="A1">
      <selection activeCell="A13" sqref="A13"/>
    </sheetView>
  </sheetViews>
  <sheetFormatPr defaultColWidth="9.3984375" defaultRowHeight="14.25"/>
  <cols>
    <col min="1" max="1" width="4.59765625" style="6" customWidth="1"/>
    <col min="2" max="2" width="32.3984375" style="6" customWidth="1"/>
    <col min="3" max="3" width="11.19921875" style="6" customWidth="1"/>
    <col min="4" max="4" width="13.19921875" style="6" customWidth="1"/>
    <col min="5" max="5" width="11.3984375" style="6" customWidth="1"/>
    <col min="6" max="6" width="13.5" style="6" customWidth="1"/>
    <col min="7" max="8" width="13.19921875" style="6" customWidth="1"/>
    <col min="9" max="9" width="11.69921875" style="6" customWidth="1"/>
    <col min="10" max="10" width="13.09765625" style="6" customWidth="1"/>
    <col min="11" max="16384" width="9" style="6" customWidth="1"/>
  </cols>
  <sheetData>
    <row r="1" spans="9:10" ht="18.75">
      <c r="I1" s="274" t="s">
        <v>156</v>
      </c>
      <c r="J1" s="274"/>
    </row>
    <row r="2" spans="1:10" ht="84.75" customHeight="1">
      <c r="A2" s="271" t="s">
        <v>157</v>
      </c>
      <c r="B2" s="271"/>
      <c r="C2" s="271"/>
      <c r="D2" s="271"/>
      <c r="E2" s="271"/>
      <c r="F2" s="271"/>
      <c r="G2" s="271"/>
      <c r="H2" s="271"/>
      <c r="I2" s="271"/>
      <c r="J2" s="271"/>
    </row>
    <row r="3" spans="1:10" s="53" customFormat="1" ht="18.75" customHeight="1">
      <c r="A3" s="254" t="s">
        <v>107</v>
      </c>
      <c r="B3" s="254" t="s">
        <v>146</v>
      </c>
      <c r="C3" s="254" t="s">
        <v>155</v>
      </c>
      <c r="D3" s="254"/>
      <c r="E3" s="254"/>
      <c r="F3" s="254"/>
      <c r="G3" s="254"/>
      <c r="H3" s="254"/>
      <c r="I3" s="254"/>
      <c r="J3" s="254"/>
    </row>
    <row r="4" spans="1:10" s="53" customFormat="1" ht="18.75" customHeight="1">
      <c r="A4" s="254"/>
      <c r="B4" s="254"/>
      <c r="C4" s="254" t="s">
        <v>158</v>
      </c>
      <c r="D4" s="254"/>
      <c r="E4" s="254" t="s">
        <v>159</v>
      </c>
      <c r="F4" s="254"/>
      <c r="G4" s="254" t="s">
        <v>160</v>
      </c>
      <c r="H4" s="254"/>
      <c r="I4" s="254" t="s">
        <v>161</v>
      </c>
      <c r="J4" s="254"/>
    </row>
    <row r="5" spans="1:10" ht="47.25" customHeight="1">
      <c r="A5" s="254"/>
      <c r="B5" s="254"/>
      <c r="C5" s="19" t="s">
        <v>162</v>
      </c>
      <c r="D5" s="11" t="s">
        <v>163</v>
      </c>
      <c r="E5" s="19" t="s">
        <v>162</v>
      </c>
      <c r="F5" s="19" t="s">
        <v>163</v>
      </c>
      <c r="G5" s="19" t="s">
        <v>162</v>
      </c>
      <c r="H5" s="19" t="s">
        <v>163</v>
      </c>
      <c r="I5" s="11" t="s">
        <v>162</v>
      </c>
      <c r="J5" s="11" t="s">
        <v>163</v>
      </c>
    </row>
    <row r="6" spans="1:10" ht="18.75">
      <c r="A6" s="279">
        <v>1</v>
      </c>
      <c r="B6" s="279">
        <v>2</v>
      </c>
      <c r="C6" s="279">
        <v>3</v>
      </c>
      <c r="D6" s="279">
        <v>4</v>
      </c>
      <c r="E6" s="280">
        <v>5</v>
      </c>
      <c r="F6" s="280">
        <v>6</v>
      </c>
      <c r="G6" s="280">
        <v>7</v>
      </c>
      <c r="H6" s="280">
        <v>8</v>
      </c>
      <c r="I6" s="280">
        <v>9</v>
      </c>
      <c r="J6" s="280">
        <v>10</v>
      </c>
    </row>
    <row r="7" spans="1:10" ht="18.75">
      <c r="A7" s="281" t="s">
        <v>399</v>
      </c>
      <c r="B7" s="282" t="s">
        <v>408</v>
      </c>
      <c r="C7" s="281">
        <v>0.185</v>
      </c>
      <c r="D7" s="281">
        <v>0.416</v>
      </c>
      <c r="E7" s="281"/>
      <c r="F7" s="281"/>
      <c r="G7" s="281"/>
      <c r="H7" s="281"/>
      <c r="I7" s="281"/>
      <c r="J7" s="281"/>
    </row>
    <row r="8" spans="1:10" ht="18.75">
      <c r="A8" s="281" t="s">
        <v>401</v>
      </c>
      <c r="B8" s="282" t="s">
        <v>409</v>
      </c>
      <c r="C8" s="281">
        <v>0.051</v>
      </c>
      <c r="D8" s="281">
        <v>0.097</v>
      </c>
      <c r="E8" s="281"/>
      <c r="F8" s="281"/>
      <c r="G8" s="281"/>
      <c r="H8" s="281"/>
      <c r="I8" s="281"/>
      <c r="J8" s="281"/>
    </row>
    <row r="9" spans="1:10" ht="31.5">
      <c r="A9" s="281" t="s">
        <v>410</v>
      </c>
      <c r="B9" s="282" t="s">
        <v>411</v>
      </c>
      <c r="C9" s="281" t="s">
        <v>412</v>
      </c>
      <c r="D9" s="281" t="s">
        <v>412</v>
      </c>
      <c r="E9" s="281">
        <v>0.129</v>
      </c>
      <c r="F9" s="281">
        <v>0.035</v>
      </c>
      <c r="G9" s="281"/>
      <c r="H9" s="281"/>
      <c r="I9" s="281"/>
      <c r="J9" s="281"/>
    </row>
    <row r="10" spans="1:10" ht="18.75">
      <c r="A10" s="281" t="s">
        <v>413</v>
      </c>
      <c r="B10" s="282" t="s">
        <v>414</v>
      </c>
      <c r="C10" s="281"/>
      <c r="D10" s="281"/>
      <c r="E10" s="281">
        <v>2.182</v>
      </c>
      <c r="F10" s="281">
        <v>1.834</v>
      </c>
      <c r="G10" s="281"/>
      <c r="H10" s="281"/>
      <c r="I10" s="281"/>
      <c r="J10" s="281"/>
    </row>
    <row r="11" spans="1:10" ht="18.75">
      <c r="A11" s="281" t="s">
        <v>415</v>
      </c>
      <c r="B11" s="282" t="s">
        <v>416</v>
      </c>
      <c r="C11" s="281"/>
      <c r="D11" s="281"/>
      <c r="E11" s="281"/>
      <c r="F11" s="281"/>
      <c r="G11" s="281">
        <v>0.671</v>
      </c>
      <c r="H11" s="281">
        <v>0.66</v>
      </c>
      <c r="I11" s="281">
        <v>2.927</v>
      </c>
      <c r="J11" s="281">
        <v>0.329</v>
      </c>
    </row>
    <row r="12" spans="1:10" ht="18.75">
      <c r="A12" s="281" t="s">
        <v>418</v>
      </c>
      <c r="B12" s="282" t="s">
        <v>417</v>
      </c>
      <c r="C12" s="281"/>
      <c r="D12" s="281"/>
      <c r="E12" s="281"/>
      <c r="F12" s="281"/>
      <c r="G12" s="281"/>
      <c r="H12" s="281"/>
      <c r="I12" s="281">
        <v>0.753</v>
      </c>
      <c r="J12" s="281">
        <v>0.147</v>
      </c>
    </row>
  </sheetData>
  <mergeCells count="9">
    <mergeCell ref="I1:J1"/>
    <mergeCell ref="A2:J2"/>
    <mergeCell ref="A3:A5"/>
    <mergeCell ref="B3:B5"/>
    <mergeCell ref="C3:J3"/>
    <mergeCell ref="C4:D4"/>
    <mergeCell ref="E4:F4"/>
    <mergeCell ref="G4:H4"/>
    <mergeCell ref="I4:J4"/>
  </mergeCells>
  <printOptions/>
  <pageMargins left="0.39375" right="0.19652777777777777" top="0.9840277777777777" bottom="0.5902777777777778" header="0.5118055555555555" footer="0.5118055555555555"/>
  <pageSetup horizontalDpi="300" verticalDpi="300" orientation="landscape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3"/>
  <sheetViews>
    <sheetView view="pageBreakPreview" zoomScale="75" zoomScaleNormal="75" zoomScaleSheetLayoutView="75" workbookViewId="0" topLeftCell="A1">
      <selection activeCell="B10" sqref="B10"/>
    </sheetView>
  </sheetViews>
  <sheetFormatPr defaultColWidth="9.3984375" defaultRowHeight="14.25"/>
  <cols>
    <col min="1" max="1" width="27.09765625" style="67" customWidth="1"/>
    <col min="2" max="2" width="12.59765625" style="67" customWidth="1"/>
    <col min="3" max="4" width="11.19921875" style="67" customWidth="1"/>
    <col min="5" max="5" width="13.69921875" style="67" customWidth="1"/>
    <col min="6" max="16384" width="9" style="67" customWidth="1"/>
  </cols>
  <sheetData>
    <row r="1" spans="4:5" ht="18.75">
      <c r="D1" s="276" t="s">
        <v>171</v>
      </c>
      <c r="E1" s="276"/>
    </row>
    <row r="2" spans="1:5" ht="75.75" customHeight="1">
      <c r="A2" s="277" t="s">
        <v>172</v>
      </c>
      <c r="B2" s="277"/>
      <c r="C2" s="277"/>
      <c r="D2" s="277"/>
      <c r="E2" s="277"/>
    </row>
    <row r="4" spans="1:5" ht="75" customHeight="1">
      <c r="A4" s="278" t="s">
        <v>173</v>
      </c>
      <c r="B4" s="278" t="s">
        <v>45</v>
      </c>
      <c r="C4" s="278" t="s">
        <v>174</v>
      </c>
      <c r="D4" s="278"/>
      <c r="E4" s="278"/>
    </row>
    <row r="5" spans="1:5" ht="18.75">
      <c r="A5" s="278"/>
      <c r="B5" s="288"/>
      <c r="C5" s="22" t="str">
        <f>'1 Доходы  '!$M$1&amp;" год"</f>
        <v>2016 год</v>
      </c>
      <c r="D5" s="22" t="str">
        <f>'1 Доходы  '!$M$1+1&amp;" год"</f>
        <v>2017 год</v>
      </c>
      <c r="E5" s="22" t="str">
        <f>'1 Доходы  '!$M$1+2&amp;" год"</f>
        <v>2018 год</v>
      </c>
    </row>
    <row r="6" spans="1:5" s="85" customFormat="1" ht="18.75">
      <c r="A6" s="285" t="s">
        <v>170</v>
      </c>
      <c r="B6" s="290" t="s">
        <v>419</v>
      </c>
      <c r="C6" s="286">
        <v>32.6</v>
      </c>
      <c r="D6" s="283">
        <v>26.9</v>
      </c>
      <c r="E6" s="283">
        <v>26.9</v>
      </c>
    </row>
    <row r="7" spans="1:5" ht="18.75">
      <c r="A7" s="285" t="s">
        <v>169</v>
      </c>
      <c r="B7" s="290" t="s">
        <v>419</v>
      </c>
      <c r="C7" s="287">
        <v>8.8</v>
      </c>
      <c r="D7" s="284">
        <v>7.3</v>
      </c>
      <c r="E7" s="284">
        <v>7.3</v>
      </c>
    </row>
    <row r="8" spans="1:5" ht="18" customHeight="1">
      <c r="A8" s="285" t="s">
        <v>168</v>
      </c>
      <c r="B8" s="290" t="s">
        <v>419</v>
      </c>
      <c r="C8" s="287">
        <v>6.42</v>
      </c>
      <c r="D8" s="284">
        <v>5.03</v>
      </c>
      <c r="E8" s="284">
        <v>5.03</v>
      </c>
    </row>
    <row r="9" spans="1:10" ht="18.75">
      <c r="A9" s="285" t="s">
        <v>167</v>
      </c>
      <c r="B9" s="290" t="s">
        <v>419</v>
      </c>
      <c r="C9" s="287">
        <v>42.35</v>
      </c>
      <c r="D9" s="284">
        <v>43.25</v>
      </c>
      <c r="E9" s="284">
        <v>43.25</v>
      </c>
      <c r="F9" s="2"/>
      <c r="G9" s="2"/>
      <c r="H9" s="2"/>
      <c r="I9" s="2"/>
      <c r="J9" s="2"/>
    </row>
    <row r="10" spans="1:5" ht="18.75">
      <c r="A10" s="285" t="s">
        <v>166</v>
      </c>
      <c r="B10" s="290" t="s">
        <v>420</v>
      </c>
      <c r="C10" s="287">
        <v>2.3</v>
      </c>
      <c r="D10" s="284">
        <v>2.1</v>
      </c>
      <c r="E10" s="284">
        <v>2.1</v>
      </c>
    </row>
    <row r="11" spans="1:5" ht="18.75">
      <c r="A11" s="285" t="s">
        <v>165</v>
      </c>
      <c r="B11" s="290" t="s">
        <v>420</v>
      </c>
      <c r="C11" s="287">
        <v>0.02</v>
      </c>
      <c r="D11" s="284">
        <v>0.04</v>
      </c>
      <c r="E11" s="284">
        <v>0.04</v>
      </c>
    </row>
    <row r="12" spans="1:5" ht="18.75">
      <c r="A12" s="285" t="s">
        <v>164</v>
      </c>
      <c r="B12" s="290" t="s">
        <v>420</v>
      </c>
      <c r="C12" s="287">
        <v>0.37</v>
      </c>
      <c r="D12" s="284">
        <v>0.25</v>
      </c>
      <c r="E12" s="284">
        <v>0.25</v>
      </c>
    </row>
    <row r="13" spans="1:5" ht="159.75" customHeight="1">
      <c r="A13" s="275" t="s">
        <v>175</v>
      </c>
      <c r="B13" s="289"/>
      <c r="C13" s="275"/>
      <c r="D13" s="275"/>
      <c r="E13" s="275"/>
    </row>
  </sheetData>
  <mergeCells count="6">
    <mergeCell ref="A13:E13"/>
    <mergeCell ref="D1:E1"/>
    <mergeCell ref="A2:E2"/>
    <mergeCell ref="A4:A5"/>
    <mergeCell ref="B4:B5"/>
    <mergeCell ref="C4:E4"/>
  </mergeCells>
  <printOptions/>
  <pageMargins left="1.1902777777777778" right="0.4597222222222222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="75" zoomScaleNormal="75" zoomScaleSheetLayoutView="75" workbookViewId="0" topLeftCell="A1">
      <selection activeCell="C13" sqref="C13"/>
    </sheetView>
  </sheetViews>
  <sheetFormatPr defaultColWidth="9.3984375" defaultRowHeight="14.25"/>
  <cols>
    <col min="1" max="1" width="73.69921875" style="4" customWidth="1"/>
    <col min="2" max="2" width="8.19921875" style="48" customWidth="1"/>
    <col min="3" max="3" width="11.19921875" style="18" customWidth="1"/>
    <col min="4" max="4" width="14.69921875" style="18" customWidth="1"/>
    <col min="5" max="5" width="11.19921875" style="18" customWidth="1"/>
    <col min="6" max="6" width="12.59765625" style="4" customWidth="1"/>
    <col min="7" max="7" width="16.5" style="4" customWidth="1"/>
    <col min="8" max="8" width="15.8984375" style="4" customWidth="1"/>
    <col min="9" max="9" width="16.5" style="4" customWidth="1"/>
    <col min="10" max="10" width="16.3984375" style="4" customWidth="1"/>
    <col min="11" max="11" width="22.09765625" style="4" customWidth="1"/>
    <col min="12" max="13" width="11.59765625" style="4" customWidth="1"/>
    <col min="14" max="14" width="11" style="4" customWidth="1"/>
    <col min="15" max="16384" width="9" style="4" customWidth="1"/>
  </cols>
  <sheetData>
    <row r="1" spans="5:6" ht="15.75" customHeight="1">
      <c r="E1" s="13"/>
      <c r="F1" s="97" t="s">
        <v>15</v>
      </c>
    </row>
    <row r="2" spans="1:6" ht="20.25" customHeight="1">
      <c r="A2" s="253" t="s">
        <v>16</v>
      </c>
      <c r="B2" s="253"/>
      <c r="C2" s="253"/>
      <c r="D2" s="253"/>
      <c r="E2" s="253"/>
      <c r="F2" s="253"/>
    </row>
    <row r="3" spans="1:6" ht="18.75" customHeight="1">
      <c r="A3" s="253" t="s">
        <v>11</v>
      </c>
      <c r="B3" s="253"/>
      <c r="C3" s="253"/>
      <c r="D3" s="253"/>
      <c r="E3" s="253"/>
      <c r="F3" s="253"/>
    </row>
    <row r="4" spans="1:6" ht="12.75">
      <c r="A4" s="8"/>
      <c r="B4" s="49"/>
      <c r="C4" s="51"/>
      <c r="D4" s="51"/>
      <c r="E4" s="13"/>
      <c r="F4" s="13"/>
    </row>
    <row r="5" spans="1:6" ht="47.25" customHeight="1">
      <c r="A5" s="254" t="s">
        <v>17</v>
      </c>
      <c r="B5" s="254" t="s">
        <v>18</v>
      </c>
      <c r="C5" s="254" t="s">
        <v>4</v>
      </c>
      <c r="D5" s="254"/>
      <c r="E5" s="254"/>
      <c r="F5" s="254"/>
    </row>
    <row r="6" spans="1:6" ht="18.75">
      <c r="A6" s="254"/>
      <c r="B6" s="254"/>
      <c r="C6" s="254" t="str">
        <f>'1 Доходы  '!$M$1&amp;" год"</f>
        <v>2016 год</v>
      </c>
      <c r="D6" s="254"/>
      <c r="E6" s="17" t="str">
        <f>'1 Доходы  '!$M$1+1&amp;" год"</f>
        <v>2017 год</v>
      </c>
      <c r="F6" s="17" t="str">
        <f>'1 Доходы  '!$M$1+2&amp;" год"</f>
        <v>2018 год</v>
      </c>
    </row>
    <row r="7" spans="1:6" ht="37.5">
      <c r="A7" s="254"/>
      <c r="B7" s="254"/>
      <c r="C7" s="1" t="s">
        <v>5</v>
      </c>
      <c r="D7" s="1" t="s">
        <v>6</v>
      </c>
      <c r="E7" s="17" t="s">
        <v>5</v>
      </c>
      <c r="F7" s="17" t="s">
        <v>5</v>
      </c>
    </row>
    <row r="8" spans="1:6" ht="18.75">
      <c r="A8" s="12">
        <v>1</v>
      </c>
      <c r="B8" s="12">
        <v>2</v>
      </c>
      <c r="C8" s="12">
        <v>3</v>
      </c>
      <c r="D8" s="12">
        <v>4</v>
      </c>
      <c r="E8" s="58">
        <v>5</v>
      </c>
      <c r="F8" s="58">
        <v>6</v>
      </c>
    </row>
    <row r="9" spans="1:7" ht="76.5" customHeight="1">
      <c r="A9" s="39" t="s">
        <v>7</v>
      </c>
      <c r="B9" s="61">
        <v>1</v>
      </c>
      <c r="C9" s="32">
        <f>5201.62/1000</f>
        <v>5.20162</v>
      </c>
      <c r="D9" s="32">
        <f>6028.76/1000</f>
        <v>6.02876</v>
      </c>
      <c r="E9" s="32">
        <f>'1 Доходы  '!D7</f>
        <v>0</v>
      </c>
      <c r="F9" s="32">
        <f>'1 Доходы  '!E7</f>
        <v>0</v>
      </c>
      <c r="G9" s="69"/>
    </row>
    <row r="10" spans="1:6" ht="18.75">
      <c r="A10" s="25" t="s">
        <v>19</v>
      </c>
      <c r="B10" s="61">
        <v>2</v>
      </c>
      <c r="C10" s="5">
        <f>1409.37/1000</f>
        <v>1.4093699999999998</v>
      </c>
      <c r="D10" s="5">
        <f>1367.75/1000</f>
        <v>1.36775</v>
      </c>
      <c r="E10" s="5">
        <f>0/1000</f>
        <v>0</v>
      </c>
      <c r="F10" s="5">
        <f>0/1000</f>
        <v>0</v>
      </c>
    </row>
    <row r="11" spans="1:8" s="26" customFormat="1" ht="57" customHeight="1">
      <c r="A11" s="39" t="s">
        <v>20</v>
      </c>
      <c r="B11" s="61">
        <v>3</v>
      </c>
      <c r="C11" s="10">
        <f>C12+C17+C21+C22+C23+C24+C25+C30</f>
        <v>6.02876</v>
      </c>
      <c r="D11" s="36">
        <f>D12+D17+D21+D22+D23+D24+D25+D30</f>
        <v>4.934200000000001</v>
      </c>
      <c r="E11" s="10">
        <f>E12+E17+E21+E22+E23+E24+E25+E30</f>
        <v>0</v>
      </c>
      <c r="F11" s="10">
        <f>F12+F17+F21+F22+F23+F24+F25+F30</f>
        <v>0</v>
      </c>
      <c r="G11" s="45"/>
      <c r="H11" s="45"/>
    </row>
    <row r="12" spans="1:6" s="26" customFormat="1" ht="56.25">
      <c r="A12" s="25" t="s">
        <v>21</v>
      </c>
      <c r="B12" s="61">
        <v>4</v>
      </c>
      <c r="C12" s="36">
        <f>C13+C14+C15+C16</f>
        <v>3.07072</v>
      </c>
      <c r="D12" s="10">
        <f>D13+D14+D15+D16</f>
        <v>2.4826200000000003</v>
      </c>
      <c r="E12" s="10">
        <f>E13+E14+E15+E16</f>
        <v>0</v>
      </c>
      <c r="F12" s="10">
        <f>F13+F14+F15+F16</f>
        <v>0</v>
      </c>
    </row>
    <row r="13" spans="1:6" ht="39" customHeight="1">
      <c r="A13" s="25" t="s">
        <v>22</v>
      </c>
      <c r="B13" s="61">
        <v>5</v>
      </c>
      <c r="C13" s="5">
        <f>315.58/1000</f>
        <v>0.31557999999999997</v>
      </c>
      <c r="D13" s="5">
        <f>277.24/1000</f>
        <v>0.27724</v>
      </c>
      <c r="E13" s="5">
        <f aca="true" t="shared" si="0" ref="E13:F16">0/1000</f>
        <v>0</v>
      </c>
      <c r="F13" s="5">
        <f t="shared" si="0"/>
        <v>0</v>
      </c>
    </row>
    <row r="14" spans="1:6" ht="37.5">
      <c r="A14" s="25" t="s">
        <v>23</v>
      </c>
      <c r="B14" s="61">
        <v>6</v>
      </c>
      <c r="C14" s="5">
        <f>1149.4/1000</f>
        <v>1.1494000000000002</v>
      </c>
      <c r="D14" s="5">
        <f>872.75/1000</f>
        <v>0.87275</v>
      </c>
      <c r="E14" s="5">
        <f t="shared" si="0"/>
        <v>0</v>
      </c>
      <c r="F14" s="5">
        <f t="shared" si="0"/>
        <v>0</v>
      </c>
    </row>
    <row r="15" spans="1:6" ht="37.5">
      <c r="A15" s="25" t="s">
        <v>24</v>
      </c>
      <c r="B15" s="61">
        <v>7</v>
      </c>
      <c r="C15" s="5">
        <f>1605.74/1000</f>
        <v>1.60574</v>
      </c>
      <c r="D15" s="5">
        <f>1332.63/1000</f>
        <v>1.3326300000000002</v>
      </c>
      <c r="E15" s="5">
        <f t="shared" si="0"/>
        <v>0</v>
      </c>
      <c r="F15" s="5">
        <f t="shared" si="0"/>
        <v>0</v>
      </c>
    </row>
    <row r="16" spans="1:6" ht="37.5">
      <c r="A16" s="25" t="s">
        <v>25</v>
      </c>
      <c r="B16" s="61">
        <v>8</v>
      </c>
      <c r="C16" s="5">
        <f>0/1000</f>
        <v>0</v>
      </c>
      <c r="D16" s="5">
        <f>0/1000</f>
        <v>0</v>
      </c>
      <c r="E16" s="5">
        <f t="shared" si="0"/>
        <v>0</v>
      </c>
      <c r="F16" s="5">
        <f t="shared" si="0"/>
        <v>0</v>
      </c>
    </row>
    <row r="17" spans="1:6" s="26" customFormat="1" ht="56.25" customHeight="1">
      <c r="A17" s="25" t="s">
        <v>26</v>
      </c>
      <c r="B17" s="61">
        <v>9</v>
      </c>
      <c r="C17" s="10">
        <f>C18+C19</f>
        <v>0.60789</v>
      </c>
      <c r="D17" s="10">
        <f>D18+D19</f>
        <v>0.5196999999999999</v>
      </c>
      <c r="E17" s="10">
        <f>E18+E19</f>
        <v>0</v>
      </c>
      <c r="F17" s="10">
        <f>F18+F19</f>
        <v>0</v>
      </c>
    </row>
    <row r="18" spans="1:6" ht="56.25">
      <c r="A18" s="25" t="s">
        <v>27</v>
      </c>
      <c r="B18" s="61">
        <v>10</v>
      </c>
      <c r="C18" s="5">
        <f>20.61/1000</f>
        <v>0.02061</v>
      </c>
      <c r="D18" s="5">
        <f>2.05/1000</f>
        <v>0.0020499999999999997</v>
      </c>
      <c r="E18" s="5">
        <f aca="true" t="shared" si="1" ref="E18:F24">0/1000</f>
        <v>0</v>
      </c>
      <c r="F18" s="5">
        <f t="shared" si="1"/>
        <v>0</v>
      </c>
    </row>
    <row r="19" spans="1:6" ht="18.75">
      <c r="A19" s="25" t="s">
        <v>28</v>
      </c>
      <c r="B19" s="61">
        <v>11</v>
      </c>
      <c r="C19" s="5">
        <f>587.28/1000</f>
        <v>0.58728</v>
      </c>
      <c r="D19" s="5">
        <f>(517.65)/1000</f>
        <v>0.5176499999999999</v>
      </c>
      <c r="E19" s="5">
        <f t="shared" si="1"/>
        <v>0</v>
      </c>
      <c r="F19" s="5">
        <f t="shared" si="1"/>
        <v>0</v>
      </c>
    </row>
    <row r="20" spans="1:6" ht="56.25">
      <c r="A20" s="25" t="s">
        <v>29</v>
      </c>
      <c r="B20" s="61">
        <v>12</v>
      </c>
      <c r="C20" s="5">
        <f aca="true" t="shared" si="2" ref="C20:D22">0/1000</f>
        <v>0</v>
      </c>
      <c r="D20" s="5">
        <f t="shared" si="2"/>
        <v>0</v>
      </c>
      <c r="E20" s="5">
        <f t="shared" si="1"/>
        <v>0</v>
      </c>
      <c r="F20" s="5">
        <f t="shared" si="1"/>
        <v>0</v>
      </c>
    </row>
    <row r="21" spans="1:6" ht="37.5">
      <c r="A21" s="25" t="s">
        <v>30</v>
      </c>
      <c r="B21" s="61">
        <v>13</v>
      </c>
      <c r="C21" s="5">
        <f t="shared" si="2"/>
        <v>0</v>
      </c>
      <c r="D21" s="5">
        <f t="shared" si="2"/>
        <v>0</v>
      </c>
      <c r="E21" s="5">
        <f t="shared" si="1"/>
        <v>0</v>
      </c>
      <c r="F21" s="5">
        <f t="shared" si="1"/>
        <v>0</v>
      </c>
    </row>
    <row r="22" spans="1:6" ht="37.5">
      <c r="A22" s="25" t="s">
        <v>31</v>
      </c>
      <c r="B22" s="61">
        <v>14</v>
      </c>
      <c r="C22" s="5">
        <f t="shared" si="2"/>
        <v>0</v>
      </c>
      <c r="D22" s="5">
        <f t="shared" si="2"/>
        <v>0</v>
      </c>
      <c r="E22" s="5">
        <f t="shared" si="1"/>
        <v>0</v>
      </c>
      <c r="F22" s="5">
        <f t="shared" si="1"/>
        <v>0</v>
      </c>
    </row>
    <row r="23" spans="1:6" ht="37.5">
      <c r="A23" s="25" t="s">
        <v>32</v>
      </c>
      <c r="B23" s="61">
        <v>15</v>
      </c>
      <c r="C23" s="5">
        <f>49.23/1000</f>
        <v>0.049229999999999996</v>
      </c>
      <c r="D23" s="5">
        <f>43.89/1000</f>
        <v>0.04389</v>
      </c>
      <c r="E23" s="5">
        <f t="shared" si="1"/>
        <v>0</v>
      </c>
      <c r="F23" s="5">
        <f t="shared" si="1"/>
        <v>0</v>
      </c>
    </row>
    <row r="24" spans="1:6" ht="131.25">
      <c r="A24" s="25" t="s">
        <v>33</v>
      </c>
      <c r="B24" s="61">
        <v>16</v>
      </c>
      <c r="C24" s="5">
        <f>0.5/1000</f>
        <v>0.0005</v>
      </c>
      <c r="D24" s="5">
        <f>0.5/1000</f>
        <v>0.0005</v>
      </c>
      <c r="E24" s="5">
        <f t="shared" si="1"/>
        <v>0</v>
      </c>
      <c r="F24" s="5">
        <f t="shared" si="1"/>
        <v>0</v>
      </c>
    </row>
    <row r="25" spans="1:6" s="26" customFormat="1" ht="37.5">
      <c r="A25" s="25" t="s">
        <v>34</v>
      </c>
      <c r="B25" s="61">
        <v>17</v>
      </c>
      <c r="C25" s="10">
        <f>C26+C27+C28+C29</f>
        <v>1.6448500000000001</v>
      </c>
      <c r="D25" s="36">
        <f>D26+D27+D28+D29</f>
        <v>1.3115999999999999</v>
      </c>
      <c r="E25" s="10">
        <f>E26+E27+E28+E29</f>
        <v>0</v>
      </c>
      <c r="F25" s="10">
        <f>F26+F27+F28+F29</f>
        <v>0</v>
      </c>
    </row>
    <row r="26" spans="1:6" s="13" customFormat="1" ht="81.75" customHeight="1">
      <c r="A26" s="76" t="s">
        <v>35</v>
      </c>
      <c r="B26" s="77">
        <v>18</v>
      </c>
      <c r="C26" s="5">
        <f>183.7/1000</f>
        <v>0.1837</v>
      </c>
      <c r="D26" s="5">
        <f>131.83/1000</f>
        <v>0.13183</v>
      </c>
      <c r="E26" s="5">
        <f aca="true" t="shared" si="3" ref="E26:F30">0/1000</f>
        <v>0</v>
      </c>
      <c r="F26" s="5">
        <f t="shared" si="3"/>
        <v>0</v>
      </c>
    </row>
    <row r="27" spans="1:6" ht="37.5">
      <c r="A27" s="25" t="s">
        <v>36</v>
      </c>
      <c r="B27" s="61">
        <v>19</v>
      </c>
      <c r="C27" s="5">
        <f>0/1000</f>
        <v>0</v>
      </c>
      <c r="D27" s="5">
        <f>0/1000</f>
        <v>0</v>
      </c>
      <c r="E27" s="5">
        <f t="shared" si="3"/>
        <v>0</v>
      </c>
      <c r="F27" s="5">
        <f t="shared" si="3"/>
        <v>0</v>
      </c>
    </row>
    <row r="28" spans="1:6" ht="56.25">
      <c r="A28" s="25" t="s">
        <v>37</v>
      </c>
      <c r="B28" s="61">
        <v>20</v>
      </c>
      <c r="C28" s="5">
        <f>0/1000</f>
        <v>0</v>
      </c>
      <c r="D28" s="5">
        <f>0/1000</f>
        <v>0</v>
      </c>
      <c r="E28" s="5">
        <f t="shared" si="3"/>
        <v>0</v>
      </c>
      <c r="F28" s="5">
        <f t="shared" si="3"/>
        <v>0</v>
      </c>
    </row>
    <row r="29" spans="1:6" ht="37.5">
      <c r="A29" s="25" t="s">
        <v>38</v>
      </c>
      <c r="B29" s="61">
        <v>21</v>
      </c>
      <c r="C29" s="5">
        <f>1461.15/1000</f>
        <v>1.4611500000000002</v>
      </c>
      <c r="D29" s="5">
        <f>1179.77/1000</f>
        <v>1.17977</v>
      </c>
      <c r="E29" s="5">
        <f t="shared" si="3"/>
        <v>0</v>
      </c>
      <c r="F29" s="5">
        <f t="shared" si="3"/>
        <v>0</v>
      </c>
    </row>
    <row r="30" spans="1:6" ht="56.25">
      <c r="A30" s="25" t="s">
        <v>39</v>
      </c>
      <c r="B30" s="61">
        <v>22</v>
      </c>
      <c r="C30" s="5">
        <f>655.57/1000</f>
        <v>0.6555700000000001</v>
      </c>
      <c r="D30" s="5">
        <f>575.89/1000</f>
        <v>0.57589</v>
      </c>
      <c r="E30" s="5">
        <f t="shared" si="3"/>
        <v>0</v>
      </c>
      <c r="F30" s="5">
        <f t="shared" si="3"/>
        <v>0</v>
      </c>
    </row>
    <row r="31" spans="1:6" ht="27" customHeight="1">
      <c r="A31" s="72"/>
      <c r="B31" s="71"/>
      <c r="C31" s="33"/>
      <c r="D31" s="33"/>
      <c r="E31" s="33"/>
      <c r="F31" s="33"/>
    </row>
    <row r="32" spans="1:6" ht="19.5" customHeight="1">
      <c r="A32" s="94" t="s">
        <v>40</v>
      </c>
      <c r="B32" s="52"/>
      <c r="C32" s="88"/>
      <c r="D32" s="47"/>
      <c r="E32" s="13"/>
      <c r="F32" s="13"/>
    </row>
    <row r="33" spans="1:6" ht="19.5" customHeight="1">
      <c r="A33" s="65"/>
      <c r="B33" s="50"/>
      <c r="C33" s="50"/>
      <c r="D33" s="95"/>
      <c r="E33" s="256"/>
      <c r="F33" s="256"/>
    </row>
    <row r="34" spans="2:6" ht="17.25" customHeight="1">
      <c r="B34" s="257" t="s">
        <v>14</v>
      </c>
      <c r="C34" s="257"/>
      <c r="D34" s="257"/>
      <c r="E34" s="63"/>
      <c r="F34" s="13"/>
    </row>
    <row r="35" spans="1:6" ht="51.75" customHeight="1" hidden="1">
      <c r="A35" s="258" t="s">
        <v>41</v>
      </c>
      <c r="B35" s="258"/>
      <c r="C35" s="258"/>
      <c r="D35" s="258"/>
      <c r="E35" s="258"/>
      <c r="F35" s="258"/>
    </row>
    <row r="37" ht="22.5" customHeight="1"/>
    <row r="38" ht="20.25" customHeight="1"/>
  </sheetData>
  <mergeCells count="9">
    <mergeCell ref="E33:F33"/>
    <mergeCell ref="B34:D34"/>
    <mergeCell ref="A35:F35"/>
    <mergeCell ref="A2:F2"/>
    <mergeCell ref="A3:F3"/>
    <mergeCell ref="A5:A7"/>
    <mergeCell ref="B5:B7"/>
    <mergeCell ref="C5:F5"/>
    <mergeCell ref="C6:D6"/>
  </mergeCells>
  <printOptions/>
  <pageMargins left="0.9840277777777777" right="0.19652777777777777" top="0.5902777777777778" bottom="0" header="0.5118055555555555" footer="0.5118055555555555"/>
  <pageSetup horizontalDpi="300" verticalDpi="300" orientation="portrait" paperSize="9" scale="60" r:id="rId1"/>
  <rowBreaks count="1" manualBreakCount="1">
    <brk id="35" max="255" man="1"/>
  </rowBreaks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view="pageBreakPreview" zoomScale="75" zoomScaleNormal="75" zoomScaleSheetLayoutView="75" workbookViewId="0" topLeftCell="A1">
      <selection activeCell="E7" sqref="E7"/>
    </sheetView>
  </sheetViews>
  <sheetFormatPr defaultColWidth="9.3984375" defaultRowHeight="14.25"/>
  <cols>
    <col min="1" max="1" width="78.59765625" style="4" customWidth="1"/>
    <col min="2" max="2" width="12.19921875" style="18" customWidth="1"/>
    <col min="3" max="3" width="11" style="18" customWidth="1"/>
    <col min="4" max="4" width="12.59765625" style="18" customWidth="1"/>
    <col min="5" max="5" width="12.69921875" style="18" customWidth="1"/>
    <col min="6" max="6" width="9.3984375" style="4" customWidth="1"/>
    <col min="7" max="16384" width="9" style="4" customWidth="1"/>
  </cols>
  <sheetData>
    <row r="1" ht="18.75">
      <c r="E1" s="24" t="s">
        <v>42</v>
      </c>
    </row>
    <row r="2" spans="1:5" ht="32.25" customHeight="1">
      <c r="A2" s="253" t="s">
        <v>43</v>
      </c>
      <c r="B2" s="253"/>
      <c r="C2" s="253"/>
      <c r="D2" s="253"/>
      <c r="E2" s="253"/>
    </row>
    <row r="3" spans="1:5" ht="12.75" customHeight="1">
      <c r="A3" s="259"/>
      <c r="B3" s="259"/>
      <c r="C3" s="259"/>
      <c r="D3" s="259"/>
      <c r="E3" s="259"/>
    </row>
    <row r="4" spans="1:5" ht="61.5" customHeight="1">
      <c r="A4" s="260" t="s">
        <v>44</v>
      </c>
      <c r="B4" s="260" t="s">
        <v>45</v>
      </c>
      <c r="C4" s="260" t="s">
        <v>46</v>
      </c>
      <c r="D4" s="260"/>
      <c r="E4" s="260"/>
    </row>
    <row r="5" spans="1:6" ht="39.75" customHeight="1">
      <c r="A5" s="260"/>
      <c r="B5" s="260"/>
      <c r="C5" s="14" t="str">
        <f>'1 Доходы  '!$M$1&amp;" год"</f>
        <v>2016 год</v>
      </c>
      <c r="D5" s="14" t="str">
        <f>'1 Доходы  '!$M$1+1&amp;" год"</f>
        <v>2017 год</v>
      </c>
      <c r="E5" s="14" t="str">
        <f>'1 Доходы  '!$M$1+2&amp;" год"</f>
        <v>2018 год</v>
      </c>
      <c r="F5" s="4" t="str">
        <f>'1 Доходы  '!$M$1+2&amp;" год"</f>
        <v>2018 год</v>
      </c>
    </row>
    <row r="6" spans="1:5" ht="54" customHeight="1">
      <c r="A6" s="43" t="s">
        <v>47</v>
      </c>
      <c r="B6" s="116" t="s">
        <v>48</v>
      </c>
      <c r="C6" s="117">
        <v>-5.66</v>
      </c>
      <c r="D6" s="21"/>
      <c r="E6" s="21"/>
    </row>
    <row r="7" spans="1:5" ht="56.25" customHeight="1">
      <c r="A7" s="43" t="s">
        <v>49</v>
      </c>
      <c r="B7" s="12" t="s">
        <v>50</v>
      </c>
      <c r="C7" s="117" t="s">
        <v>176</v>
      </c>
      <c r="D7" s="12"/>
      <c r="E7" s="12"/>
    </row>
    <row r="8" spans="1:5" ht="47.25" customHeight="1">
      <c r="A8" s="43" t="s">
        <v>51</v>
      </c>
      <c r="B8" s="12" t="s">
        <v>48</v>
      </c>
      <c r="C8" s="117" t="s">
        <v>177</v>
      </c>
      <c r="D8" s="12"/>
      <c r="E8" s="12"/>
    </row>
    <row r="9" spans="1:5" ht="57" customHeight="1">
      <c r="A9" s="43" t="s">
        <v>52</v>
      </c>
      <c r="B9" s="12" t="s">
        <v>50</v>
      </c>
      <c r="C9" s="117" t="s">
        <v>178</v>
      </c>
      <c r="D9" s="12"/>
      <c r="E9" s="12"/>
    </row>
    <row r="10" spans="1:5" ht="58.5" customHeight="1">
      <c r="A10" s="43" t="s">
        <v>53</v>
      </c>
      <c r="B10" s="116" t="s">
        <v>48</v>
      </c>
      <c r="C10" s="117" t="s">
        <v>179</v>
      </c>
      <c r="D10" s="12"/>
      <c r="E10" s="12"/>
    </row>
    <row r="11" spans="1:5" ht="58.5" customHeight="1">
      <c r="A11" s="43" t="s">
        <v>54</v>
      </c>
      <c r="B11" s="116" t="s">
        <v>48</v>
      </c>
      <c r="C11" s="117">
        <f aca="true" t="shared" si="0" ref="C11:C16">0</f>
        <v>0</v>
      </c>
      <c r="D11" s="21"/>
      <c r="E11" s="21"/>
    </row>
    <row r="12" spans="1:5" ht="75">
      <c r="A12" s="43" t="s">
        <v>55</v>
      </c>
      <c r="B12" s="116" t="s">
        <v>56</v>
      </c>
      <c r="C12" s="117" t="s">
        <v>180</v>
      </c>
      <c r="D12" s="84"/>
      <c r="E12" s="21"/>
    </row>
    <row r="13" spans="1:5" ht="75" customHeight="1">
      <c r="A13" s="43" t="s">
        <v>57</v>
      </c>
      <c r="B13" s="116" t="s">
        <v>58</v>
      </c>
      <c r="C13" s="117" t="s">
        <v>181</v>
      </c>
      <c r="D13" s="84"/>
      <c r="E13" s="21"/>
    </row>
    <row r="14" spans="1:5" ht="37.5" customHeight="1">
      <c r="A14" s="43" t="s">
        <v>59</v>
      </c>
      <c r="B14" s="116" t="s">
        <v>56</v>
      </c>
      <c r="C14" s="117">
        <f t="shared" si="0"/>
        <v>0</v>
      </c>
      <c r="D14" s="21"/>
      <c r="E14" s="21"/>
    </row>
    <row r="15" spans="1:5" ht="37.5" customHeight="1">
      <c r="A15" s="43" t="s">
        <v>60</v>
      </c>
      <c r="B15" s="116" t="s">
        <v>56</v>
      </c>
      <c r="C15" s="117">
        <f t="shared" si="0"/>
        <v>0</v>
      </c>
      <c r="D15" s="55"/>
      <c r="E15" s="55"/>
    </row>
    <row r="16" spans="1:5" ht="37.5" customHeight="1">
      <c r="A16" s="43" t="s">
        <v>61</v>
      </c>
      <c r="B16" s="116" t="s">
        <v>56</v>
      </c>
      <c r="C16" s="117">
        <f t="shared" si="0"/>
        <v>0</v>
      </c>
      <c r="D16" s="55"/>
      <c r="E16" s="55"/>
    </row>
    <row r="20" ht="39" customHeight="1"/>
  </sheetData>
  <mergeCells count="5">
    <mergeCell ref="A2:E2"/>
    <mergeCell ref="A3:E3"/>
    <mergeCell ref="A4:A5"/>
    <mergeCell ref="B4:B5"/>
    <mergeCell ref="C4:E4"/>
  </mergeCells>
  <printOptions/>
  <pageMargins left="0.6694444444444444" right="0.39375" top="0.8659722222222223" bottom="0.5902777777777778" header="0.5118055555555555" footer="0.5118055555555555"/>
  <pageSetup horizontalDpi="300" verticalDpi="3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="75" zoomScaleNormal="75" zoomScaleSheetLayoutView="75" workbookViewId="0" topLeftCell="A16">
      <selection activeCell="D23" sqref="D23"/>
    </sheetView>
  </sheetViews>
  <sheetFormatPr defaultColWidth="9.3984375" defaultRowHeight="14.25"/>
  <cols>
    <col min="1" max="1" width="68.3984375" style="4" customWidth="1"/>
    <col min="2" max="2" width="11.8984375" style="18" customWidth="1"/>
    <col min="3" max="3" width="11.5" style="18" customWidth="1"/>
    <col min="4" max="4" width="9.09765625" style="18" customWidth="1"/>
    <col min="5" max="5" width="12.5" style="18" customWidth="1"/>
    <col min="6" max="6" width="11.69921875" style="4" customWidth="1"/>
    <col min="7" max="16384" width="9" style="4" customWidth="1"/>
  </cols>
  <sheetData>
    <row r="1" ht="18.75">
      <c r="E1" s="24" t="s">
        <v>62</v>
      </c>
    </row>
    <row r="2" spans="1:5" ht="22.5" customHeight="1">
      <c r="A2" s="253" t="s">
        <v>63</v>
      </c>
      <c r="B2" s="253"/>
      <c r="C2" s="253"/>
      <c r="D2" s="253"/>
      <c r="E2" s="253"/>
    </row>
    <row r="3" spans="1:5" ht="1.5" customHeight="1">
      <c r="A3" s="259"/>
      <c r="B3" s="259"/>
      <c r="C3" s="259"/>
      <c r="D3" s="259"/>
      <c r="E3" s="259"/>
    </row>
    <row r="4" spans="1:6" ht="18.75" customHeight="1">
      <c r="A4" s="254" t="s">
        <v>44</v>
      </c>
      <c r="B4" s="254" t="s">
        <v>45</v>
      </c>
      <c r="C4" s="254" t="s">
        <v>64</v>
      </c>
      <c r="D4" s="254"/>
      <c r="E4" s="254"/>
      <c r="F4" s="254"/>
    </row>
    <row r="5" spans="1:6" ht="18.75" customHeight="1">
      <c r="A5" s="254"/>
      <c r="B5" s="254"/>
      <c r="C5" s="254" t="str">
        <f>'1 Доходы  '!$M$1&amp;" год"</f>
        <v>2016 год</v>
      </c>
      <c r="D5" s="254"/>
      <c r="E5" s="1" t="str">
        <f>'1 Доходы  '!$M$1+1&amp;" год"</f>
        <v>2017 год</v>
      </c>
      <c r="F5" s="1" t="str">
        <f>'1 Доходы  '!$M$1+2&amp;" год"</f>
        <v>2018 год</v>
      </c>
    </row>
    <row r="6" spans="1:6" ht="56.25">
      <c r="A6" s="254"/>
      <c r="B6" s="254"/>
      <c r="C6" s="1" t="s">
        <v>5</v>
      </c>
      <c r="D6" s="1" t="s">
        <v>6</v>
      </c>
      <c r="E6" s="1" t="s">
        <v>5</v>
      </c>
      <c r="F6" s="1" t="s">
        <v>5</v>
      </c>
    </row>
    <row r="7" spans="1:6" ht="37.5">
      <c r="A7" s="43" t="s">
        <v>65</v>
      </c>
      <c r="B7" s="42" t="s">
        <v>48</v>
      </c>
      <c r="C7" s="30">
        <v>12.641</v>
      </c>
      <c r="D7" s="30">
        <v>12.641</v>
      </c>
      <c r="E7" s="30">
        <f aca="true" t="shared" si="0" ref="C7:F24">0</f>
        <v>0</v>
      </c>
      <c r="F7" s="30">
        <f t="shared" si="0"/>
        <v>0</v>
      </c>
    </row>
    <row r="8" spans="1:6" s="13" customFormat="1" ht="55.5" customHeight="1">
      <c r="A8" s="43" t="s">
        <v>66</v>
      </c>
      <c r="B8" s="42" t="s">
        <v>48</v>
      </c>
      <c r="C8" s="30">
        <v>12.641</v>
      </c>
      <c r="D8" s="30">
        <v>12.641</v>
      </c>
      <c r="E8" s="30">
        <f t="shared" si="0"/>
        <v>0</v>
      </c>
      <c r="F8" s="30">
        <f t="shared" si="0"/>
        <v>0</v>
      </c>
    </row>
    <row r="9" spans="1:6" s="13" customFormat="1" ht="75">
      <c r="A9" s="43" t="s">
        <v>67</v>
      </c>
      <c r="B9" s="42" t="s">
        <v>48</v>
      </c>
      <c r="C9" s="30">
        <v>25.282</v>
      </c>
      <c r="D9" s="30">
        <v>25.282</v>
      </c>
      <c r="E9" s="30">
        <f t="shared" si="0"/>
        <v>0</v>
      </c>
      <c r="F9" s="30">
        <f t="shared" si="0"/>
        <v>0</v>
      </c>
    </row>
    <row r="10" spans="1:6" ht="37.5">
      <c r="A10" s="60" t="s">
        <v>68</v>
      </c>
      <c r="B10" s="42" t="s">
        <v>48</v>
      </c>
      <c r="C10" s="30">
        <v>0</v>
      </c>
      <c r="D10" s="30">
        <v>0</v>
      </c>
      <c r="E10" s="30">
        <f t="shared" si="0"/>
        <v>0</v>
      </c>
      <c r="F10" s="30">
        <f t="shared" si="0"/>
        <v>0</v>
      </c>
    </row>
    <row r="11" spans="1:6" ht="56.25">
      <c r="A11" s="43" t="s">
        <v>69</v>
      </c>
      <c r="B11" s="62" t="s">
        <v>70</v>
      </c>
      <c r="C11" s="118">
        <v>3</v>
      </c>
      <c r="D11" s="118">
        <v>1</v>
      </c>
      <c r="E11" s="30">
        <f t="shared" si="0"/>
        <v>0</v>
      </c>
      <c r="F11" s="30">
        <f t="shared" si="0"/>
        <v>0</v>
      </c>
    </row>
    <row r="12" spans="1:6" ht="60.75" customHeight="1">
      <c r="A12" s="43" t="s">
        <v>71</v>
      </c>
      <c r="B12" s="62" t="s">
        <v>70</v>
      </c>
      <c r="C12" s="118">
        <v>3</v>
      </c>
      <c r="D12" s="118">
        <v>1</v>
      </c>
      <c r="E12" s="30">
        <f t="shared" si="0"/>
        <v>0</v>
      </c>
      <c r="F12" s="30">
        <f t="shared" si="0"/>
        <v>0</v>
      </c>
    </row>
    <row r="13" spans="1:6" ht="58.5" customHeight="1">
      <c r="A13" s="43" t="s">
        <v>72</v>
      </c>
      <c r="B13" s="62" t="s">
        <v>73</v>
      </c>
      <c r="C13" s="30">
        <v>105.69</v>
      </c>
      <c r="D13" s="30">
        <v>29.15</v>
      </c>
      <c r="E13" s="30">
        <f t="shared" si="0"/>
        <v>0</v>
      </c>
      <c r="F13" s="30">
        <f t="shared" si="0"/>
        <v>0</v>
      </c>
    </row>
    <row r="14" spans="1:6" ht="47.25">
      <c r="A14" s="101" t="s">
        <v>74</v>
      </c>
      <c r="B14" s="62" t="s">
        <v>73</v>
      </c>
      <c r="C14" s="30">
        <f t="shared" si="0"/>
        <v>0</v>
      </c>
      <c r="D14" s="30">
        <f t="shared" si="0"/>
        <v>0</v>
      </c>
      <c r="E14" s="30">
        <f t="shared" si="0"/>
        <v>0</v>
      </c>
      <c r="F14" s="30">
        <f t="shared" si="0"/>
        <v>0</v>
      </c>
    </row>
    <row r="15" spans="1:6" ht="60" customHeight="1">
      <c r="A15" s="60" t="s">
        <v>75</v>
      </c>
      <c r="B15" s="42" t="s">
        <v>76</v>
      </c>
      <c r="C15" s="118">
        <v>2</v>
      </c>
      <c r="D15" s="30">
        <f t="shared" si="0"/>
        <v>0</v>
      </c>
      <c r="E15" s="30">
        <f t="shared" si="0"/>
        <v>0</v>
      </c>
      <c r="F15" s="30">
        <f t="shared" si="0"/>
        <v>0</v>
      </c>
    </row>
    <row r="16" spans="1:6" s="13" customFormat="1" ht="75">
      <c r="A16" s="60" t="s">
        <v>77</v>
      </c>
      <c r="B16" s="62" t="s">
        <v>73</v>
      </c>
      <c r="C16" s="118">
        <v>17629</v>
      </c>
      <c r="D16" s="118">
        <v>16416</v>
      </c>
      <c r="E16" s="30">
        <f t="shared" si="0"/>
        <v>0</v>
      </c>
      <c r="F16" s="30">
        <f t="shared" si="0"/>
        <v>0</v>
      </c>
    </row>
    <row r="17" spans="1:6" ht="56.25">
      <c r="A17" s="110" t="s">
        <v>78</v>
      </c>
      <c r="B17" s="62" t="s">
        <v>73</v>
      </c>
      <c r="C17" s="30">
        <f t="shared" si="0"/>
        <v>0</v>
      </c>
      <c r="D17" s="30">
        <f t="shared" si="0"/>
        <v>0</v>
      </c>
      <c r="E17" s="30">
        <f t="shared" si="0"/>
        <v>0</v>
      </c>
      <c r="F17" s="30">
        <f t="shared" si="0"/>
        <v>0</v>
      </c>
    </row>
    <row r="18" spans="1:6" ht="46.5" customHeight="1">
      <c r="A18" s="110" t="s">
        <v>79</v>
      </c>
      <c r="B18" s="42" t="s">
        <v>80</v>
      </c>
      <c r="C18" s="30">
        <f t="shared" si="0"/>
        <v>0</v>
      </c>
      <c r="D18" s="30">
        <f t="shared" si="0"/>
        <v>0</v>
      </c>
      <c r="E18" s="30">
        <f t="shared" si="0"/>
        <v>0</v>
      </c>
      <c r="F18" s="30">
        <f t="shared" si="0"/>
        <v>0</v>
      </c>
    </row>
    <row r="19" spans="1:6" ht="71.25" customHeight="1">
      <c r="A19" s="70" t="s">
        <v>81</v>
      </c>
      <c r="B19" s="80" t="s">
        <v>48</v>
      </c>
      <c r="C19" s="30">
        <v>126.986</v>
      </c>
      <c r="D19" s="30">
        <v>126.986</v>
      </c>
      <c r="E19" s="30">
        <f t="shared" si="0"/>
        <v>0</v>
      </c>
      <c r="F19" s="30">
        <f t="shared" si="0"/>
        <v>0</v>
      </c>
    </row>
    <row r="20" spans="1:6" ht="73.5" customHeight="1">
      <c r="A20" s="99" t="s">
        <v>82</v>
      </c>
      <c r="B20" s="80" t="s">
        <v>48</v>
      </c>
      <c r="C20" s="30">
        <v>253.972</v>
      </c>
      <c r="D20" s="30">
        <v>253.972</v>
      </c>
      <c r="E20" s="30">
        <f t="shared" si="0"/>
        <v>0</v>
      </c>
      <c r="F20" s="30">
        <f t="shared" si="0"/>
        <v>0</v>
      </c>
    </row>
    <row r="21" spans="1:6" ht="76.5" customHeight="1">
      <c r="A21" s="99" t="s">
        <v>83</v>
      </c>
      <c r="B21" s="98" t="s">
        <v>73</v>
      </c>
      <c r="C21" s="30">
        <v>233.15</v>
      </c>
      <c r="D21" s="30">
        <v>129.9</v>
      </c>
      <c r="E21" s="30">
        <f t="shared" si="0"/>
        <v>0</v>
      </c>
      <c r="F21" s="30">
        <f t="shared" si="0"/>
        <v>0</v>
      </c>
    </row>
    <row r="22" spans="1:6" s="104" customFormat="1" ht="109.5" customHeight="1">
      <c r="A22" s="99" t="s">
        <v>84</v>
      </c>
      <c r="B22" s="98" t="s">
        <v>48</v>
      </c>
      <c r="C22" s="30">
        <f t="shared" si="0"/>
        <v>0</v>
      </c>
      <c r="D22" s="30">
        <f t="shared" si="0"/>
        <v>0</v>
      </c>
      <c r="E22" s="30">
        <f t="shared" si="0"/>
        <v>0</v>
      </c>
      <c r="F22" s="30">
        <f t="shared" si="0"/>
        <v>0</v>
      </c>
    </row>
    <row r="23" spans="1:6" s="79" customFormat="1" ht="75">
      <c r="A23" s="99" t="s">
        <v>85</v>
      </c>
      <c r="B23" s="98" t="s">
        <v>86</v>
      </c>
      <c r="C23" s="118">
        <v>980278</v>
      </c>
      <c r="D23" s="118">
        <v>980278</v>
      </c>
      <c r="E23" s="30">
        <f t="shared" si="0"/>
        <v>0</v>
      </c>
      <c r="F23" s="30">
        <f t="shared" si="0"/>
        <v>0</v>
      </c>
    </row>
    <row r="24" spans="1:6" s="79" customFormat="1" ht="72" customHeight="1">
      <c r="A24" s="99" t="s">
        <v>87</v>
      </c>
      <c r="B24" s="98" t="s">
        <v>86</v>
      </c>
      <c r="C24" s="30">
        <f t="shared" si="0"/>
        <v>0</v>
      </c>
      <c r="D24" s="30">
        <f t="shared" si="0"/>
        <v>0</v>
      </c>
      <c r="E24" s="30">
        <f t="shared" si="0"/>
        <v>0</v>
      </c>
      <c r="F24" s="30">
        <f t="shared" si="0"/>
        <v>0</v>
      </c>
    </row>
    <row r="31" ht="36.75" customHeight="1" hidden="1"/>
  </sheetData>
  <mergeCells count="6">
    <mergeCell ref="A2:E2"/>
    <mergeCell ref="A3:E3"/>
    <mergeCell ref="A4:A6"/>
    <mergeCell ref="B4:B6"/>
    <mergeCell ref="C4:F4"/>
    <mergeCell ref="C5:D5"/>
  </mergeCells>
  <printOptions/>
  <pageMargins left="0.4722222222222222" right="0.19652777777777777" top="0.4722222222222222" bottom="0" header="0.5118055555555555" footer="0.5118055555555555"/>
  <pageSetup horizontalDpi="300" verticalDpi="3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1"/>
  <sheetViews>
    <sheetView view="pageBreakPreview" zoomScale="75" zoomScaleNormal="75" zoomScaleSheetLayoutView="75" workbookViewId="0" topLeftCell="A1">
      <selection activeCell="B12" sqref="B12"/>
    </sheetView>
  </sheetViews>
  <sheetFormatPr defaultColWidth="9.3984375" defaultRowHeight="14.25"/>
  <cols>
    <col min="1" max="1" width="59" style="4" customWidth="1"/>
    <col min="2" max="2" width="9.59765625" style="48" customWidth="1"/>
    <col min="3" max="3" width="18.3984375" style="18" customWidth="1"/>
    <col min="4" max="16384" width="9" style="4" customWidth="1"/>
  </cols>
  <sheetData>
    <row r="1" ht="18.75">
      <c r="C1" s="24" t="s">
        <v>89</v>
      </c>
    </row>
    <row r="2" spans="1:3" ht="78.75" customHeight="1">
      <c r="A2" s="253" t="s">
        <v>88</v>
      </c>
      <c r="B2" s="253"/>
      <c r="C2" s="253"/>
    </row>
    <row r="3" spans="1:3" ht="12.75">
      <c r="A3" s="8"/>
      <c r="B3" s="49"/>
      <c r="C3" s="8"/>
    </row>
    <row r="4" spans="1:3" ht="43.5" customHeight="1">
      <c r="A4" s="1" t="s">
        <v>91</v>
      </c>
      <c r="B4" s="54" t="s">
        <v>18</v>
      </c>
      <c r="C4" s="54" t="s">
        <v>4</v>
      </c>
    </row>
    <row r="5" spans="1:3" ht="18.75">
      <c r="A5" s="12">
        <v>1</v>
      </c>
      <c r="B5" s="12">
        <v>2</v>
      </c>
      <c r="C5" s="12">
        <v>3</v>
      </c>
    </row>
    <row r="6" spans="1:3" ht="93.75">
      <c r="A6" s="39" t="s">
        <v>90</v>
      </c>
      <c r="B6" s="38">
        <v>1</v>
      </c>
      <c r="C6" s="40">
        <f>SUM(C7:C9)</f>
        <v>9576.400000000001</v>
      </c>
    </row>
    <row r="7" spans="1:3" ht="37.5">
      <c r="A7" s="46" t="s">
        <v>93</v>
      </c>
      <c r="B7" s="38">
        <v>2</v>
      </c>
      <c r="C7" s="81">
        <f>5671.1</f>
        <v>5671.1</v>
      </c>
    </row>
    <row r="8" spans="1:3" ht="37.5">
      <c r="A8" s="46" t="s">
        <v>94</v>
      </c>
      <c r="B8" s="38">
        <v>3</v>
      </c>
      <c r="C8" s="81">
        <f>1643.3</f>
        <v>1643.3</v>
      </c>
    </row>
    <row r="9" spans="1:3" ht="37.5">
      <c r="A9" s="107" t="s">
        <v>95</v>
      </c>
      <c r="B9" s="89">
        <v>4</v>
      </c>
      <c r="C9" s="81">
        <f>2262</f>
        <v>2262</v>
      </c>
    </row>
    <row r="10" spans="1:3" ht="19.5" customHeight="1">
      <c r="A10" s="261" t="s">
        <v>96</v>
      </c>
      <c r="B10" s="261"/>
      <c r="C10" s="261"/>
    </row>
    <row r="11" spans="1:3" ht="75">
      <c r="A11" s="25" t="s">
        <v>97</v>
      </c>
      <c r="B11" s="38" t="s">
        <v>98</v>
      </c>
      <c r="C11" s="38" t="s">
        <v>92</v>
      </c>
    </row>
    <row r="12" spans="1:3" ht="56.25">
      <c r="A12" s="25" t="s">
        <v>99</v>
      </c>
      <c r="B12" s="78">
        <f>B13+B14+B15+B16+B17+B18</f>
        <v>2899.102</v>
      </c>
      <c r="C12" s="40">
        <f>C13+C14+C15+C16+C17+C18</f>
        <v>3031765.9</v>
      </c>
    </row>
    <row r="13" spans="1:3" ht="18.75">
      <c r="A13" s="46" t="s">
        <v>100</v>
      </c>
      <c r="B13" s="93">
        <v>11.21</v>
      </c>
      <c r="C13" s="78">
        <v>6058.3</v>
      </c>
    </row>
    <row r="14" spans="1:3" ht="18.75">
      <c r="A14" s="46" t="s">
        <v>101</v>
      </c>
      <c r="B14" s="93">
        <v>10.61</v>
      </c>
      <c r="C14" s="78">
        <v>5734.1</v>
      </c>
    </row>
    <row r="15" spans="1:3" ht="18.75">
      <c r="A15" s="46" t="s">
        <v>102</v>
      </c>
      <c r="B15" s="93">
        <v>1478.494</v>
      </c>
      <c r="C15" s="78">
        <v>2063221.9</v>
      </c>
    </row>
    <row r="16" spans="1:3" ht="18.75">
      <c r="A16" s="46" t="s">
        <v>103</v>
      </c>
      <c r="B16" s="93">
        <v>1392.504</v>
      </c>
      <c r="C16" s="78">
        <v>953355.5</v>
      </c>
    </row>
    <row r="17" spans="1:3" ht="18.75">
      <c r="A17" s="46" t="s">
        <v>104</v>
      </c>
      <c r="B17" s="93">
        <v>6.284</v>
      </c>
      <c r="C17" s="78">
        <v>3396.1</v>
      </c>
    </row>
    <row r="18" spans="1:3" ht="18.75">
      <c r="A18" s="57"/>
      <c r="B18" s="68"/>
      <c r="C18" s="119"/>
    </row>
    <row r="19" spans="1:3" ht="18.75">
      <c r="A19" s="102"/>
      <c r="B19" s="52"/>
      <c r="C19" s="47"/>
    </row>
    <row r="20" spans="1:2" ht="12.75">
      <c r="A20" s="35"/>
      <c r="B20" s="109"/>
    </row>
    <row r="21" spans="1:16" ht="40.5" customHeight="1" hidden="1">
      <c r="A21" s="258" t="s">
        <v>41</v>
      </c>
      <c r="B21" s="258"/>
      <c r="C21" s="258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</sheetData>
  <mergeCells count="3">
    <mergeCell ref="A2:C2"/>
    <mergeCell ref="A10:C10"/>
    <mergeCell ref="A21:C21"/>
  </mergeCells>
  <printOptions/>
  <pageMargins left="0.9840277777777777" right="0.5902777777777778" top="0.7875" bottom="0.7875" header="0.5118055555555555" footer="0.5118055555555555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view="pageBreakPreview" zoomScale="75" zoomScaleNormal="75" zoomScaleSheetLayoutView="75" workbookViewId="0" topLeftCell="A1">
      <pane ySplit="5" topLeftCell="BM45" activePane="bottomLeft" state="frozen"/>
      <selection pane="topLeft" activeCell="A1" sqref="A1"/>
      <selection pane="bottomLeft" activeCell="N56" sqref="N56"/>
    </sheetView>
  </sheetViews>
  <sheetFormatPr defaultColWidth="9.3984375" defaultRowHeight="14.25"/>
  <cols>
    <col min="1" max="1" width="10.8984375" style="41" customWidth="1"/>
    <col min="2" max="2" width="52.19921875" style="41" customWidth="1"/>
    <col min="3" max="3" width="15" style="41" customWidth="1"/>
    <col min="4" max="4" width="7" style="41" customWidth="1"/>
    <col min="5" max="5" width="13.19921875" style="41" customWidth="1"/>
    <col min="6" max="6" width="12.69921875" style="41" customWidth="1"/>
    <col min="7" max="7" width="19" style="41" customWidth="1"/>
    <col min="8" max="8" width="20.5" style="41" customWidth="1"/>
    <col min="9" max="9" width="13.5" style="41" customWidth="1"/>
    <col min="10" max="10" width="7.09765625" style="41" customWidth="1"/>
    <col min="11" max="11" width="10.69921875" style="41" customWidth="1"/>
    <col min="12" max="12" width="10.59765625" style="41" customWidth="1"/>
    <col min="13" max="13" width="13.5" style="41" customWidth="1"/>
    <col min="14" max="15" width="11.19921875" style="41" customWidth="1"/>
    <col min="16" max="16" width="14.3984375" style="41" customWidth="1"/>
    <col min="17" max="17" width="11.8984375" style="41" customWidth="1"/>
    <col min="18" max="25" width="9" style="41" customWidth="1"/>
    <col min="26" max="26" width="9" style="41" hidden="1" customWidth="1"/>
    <col min="27" max="16384" width="9" style="41" customWidth="1"/>
  </cols>
  <sheetData>
    <row r="1" spans="1:13" ht="26.25" customHeight="1">
      <c r="A1" s="9"/>
      <c r="B1" s="9"/>
      <c r="C1" s="9"/>
      <c r="D1" s="9"/>
      <c r="E1" s="73"/>
      <c r="F1" s="9"/>
      <c r="G1" s="9"/>
      <c r="H1" s="9"/>
      <c r="I1" s="9"/>
      <c r="J1" s="9"/>
      <c r="K1" s="9"/>
      <c r="L1" s="41" t="s">
        <v>105</v>
      </c>
      <c r="M1" s="9"/>
    </row>
    <row r="2" spans="1:13" ht="39" customHeight="1">
      <c r="A2" s="264" t="s">
        <v>106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</row>
    <row r="3" spans="1:13" ht="36" customHeight="1">
      <c r="A3" s="115" t="s">
        <v>107</v>
      </c>
      <c r="B3" s="115" t="s">
        <v>108</v>
      </c>
      <c r="C3" s="115" t="s">
        <v>109</v>
      </c>
      <c r="D3" s="115"/>
      <c r="E3" s="115" t="s">
        <v>110</v>
      </c>
      <c r="F3" s="115" t="s">
        <v>111</v>
      </c>
      <c r="G3" s="115" t="s">
        <v>112</v>
      </c>
      <c r="H3" s="115" t="s">
        <v>113</v>
      </c>
      <c r="I3" s="115" t="s">
        <v>114</v>
      </c>
      <c r="J3" s="115" t="s">
        <v>115</v>
      </c>
      <c r="K3" s="115"/>
      <c r="L3" s="115"/>
      <c r="M3" s="115"/>
    </row>
    <row r="4" spans="1:13" ht="45" customHeight="1">
      <c r="A4" s="115"/>
      <c r="B4" s="115"/>
      <c r="C4" s="115" t="s">
        <v>48</v>
      </c>
      <c r="D4" s="115" t="s">
        <v>116</v>
      </c>
      <c r="E4" s="115"/>
      <c r="F4" s="115"/>
      <c r="G4" s="115"/>
      <c r="H4" s="115"/>
      <c r="I4" s="115"/>
      <c r="J4" s="260" t="str">
        <f>'1 Доходы  '!$M$1&amp;" год"</f>
        <v>2016 год</v>
      </c>
      <c r="K4" s="260"/>
      <c r="L4" s="64" t="str">
        <f>'1 Доходы  '!$M$1+1&amp;" год"</f>
        <v>2017 год</v>
      </c>
      <c r="M4" s="64" t="str">
        <f>'1 Доходы  '!$M$1+2&amp;" год"</f>
        <v>2018 год</v>
      </c>
    </row>
    <row r="5" spans="1:13" ht="67.5" customHeight="1">
      <c r="A5" s="115"/>
      <c r="B5" s="115"/>
      <c r="C5" s="115"/>
      <c r="D5" s="115"/>
      <c r="E5" s="115"/>
      <c r="F5" s="115"/>
      <c r="G5" s="115"/>
      <c r="H5" s="115"/>
      <c r="I5" s="115"/>
      <c r="J5" s="3" t="s">
        <v>5</v>
      </c>
      <c r="K5" s="3" t="s">
        <v>6</v>
      </c>
      <c r="L5" s="3" t="s">
        <v>5</v>
      </c>
      <c r="M5" s="3" t="s">
        <v>5</v>
      </c>
    </row>
    <row r="6" spans="1:13" ht="18.75" customHeight="1">
      <c r="A6" s="262" t="s">
        <v>182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140"/>
    </row>
    <row r="7" spans="1:13" ht="37.5">
      <c r="A7" s="121">
        <v>1</v>
      </c>
      <c r="B7" s="122" t="s">
        <v>222</v>
      </c>
      <c r="C7" s="121">
        <v>26.63</v>
      </c>
      <c r="D7" s="121">
        <v>0</v>
      </c>
      <c r="E7" s="121" t="s">
        <v>183</v>
      </c>
      <c r="F7" s="121">
        <v>2</v>
      </c>
      <c r="G7" s="121">
        <v>2017</v>
      </c>
      <c r="H7" s="121" t="s">
        <v>184</v>
      </c>
      <c r="I7" s="124" t="s">
        <v>184</v>
      </c>
      <c r="J7" s="125">
        <v>0.245</v>
      </c>
      <c r="K7" s="126">
        <v>0</v>
      </c>
      <c r="L7" s="127">
        <v>0</v>
      </c>
      <c r="M7" s="124">
        <v>0</v>
      </c>
    </row>
    <row r="8" spans="1:13" ht="37.5">
      <c r="A8" s="121"/>
      <c r="B8" s="128" t="s">
        <v>185</v>
      </c>
      <c r="C8" s="123"/>
      <c r="D8" s="121"/>
      <c r="E8" s="121"/>
      <c r="F8" s="121"/>
      <c r="G8" s="121"/>
      <c r="H8" s="123"/>
      <c r="I8" s="121"/>
      <c r="J8" s="129"/>
      <c r="K8" s="130">
        <v>0.245</v>
      </c>
      <c r="L8" s="131"/>
      <c r="M8" s="132"/>
    </row>
    <row r="9" spans="1:13" ht="75">
      <c r="A9" s="133">
        <v>2</v>
      </c>
      <c r="B9" s="134" t="s">
        <v>219</v>
      </c>
      <c r="C9" s="133">
        <v>12.641</v>
      </c>
      <c r="D9" s="133">
        <v>29.15</v>
      </c>
      <c r="E9" s="133" t="s">
        <v>183</v>
      </c>
      <c r="F9" s="133">
        <v>2</v>
      </c>
      <c r="G9" s="135" t="s">
        <v>186</v>
      </c>
      <c r="H9" s="133">
        <v>784.822</v>
      </c>
      <c r="I9" s="178">
        <v>386.882</v>
      </c>
      <c r="J9" s="179">
        <f>48.106+325.84+0.098</f>
        <v>374.044</v>
      </c>
      <c r="K9" s="126">
        <f>373.946+0.098</f>
        <v>374.04400000000004</v>
      </c>
      <c r="L9" s="136"/>
      <c r="M9" s="136"/>
    </row>
    <row r="10" spans="1:13" ht="37.5">
      <c r="A10" s="133"/>
      <c r="B10" s="128" t="s">
        <v>187</v>
      </c>
      <c r="C10" s="133"/>
      <c r="D10" s="133"/>
      <c r="E10" s="133"/>
      <c r="F10" s="133"/>
      <c r="G10" s="135"/>
      <c r="H10" s="133"/>
      <c r="I10" s="137"/>
      <c r="J10" s="138">
        <v>0.098</v>
      </c>
      <c r="K10" s="139">
        <v>0.098</v>
      </c>
      <c r="L10" s="142"/>
      <c r="M10" s="136"/>
    </row>
    <row r="11" spans="1:13" ht="45" customHeight="1">
      <c r="A11" s="133">
        <v>3</v>
      </c>
      <c r="B11" s="143" t="s">
        <v>220</v>
      </c>
      <c r="C11" s="121">
        <v>13.83</v>
      </c>
      <c r="D11" s="121"/>
      <c r="E11" s="121" t="s">
        <v>183</v>
      </c>
      <c r="F11" s="121">
        <v>2</v>
      </c>
      <c r="G11" s="121" t="s">
        <v>188</v>
      </c>
      <c r="H11" s="124" t="s">
        <v>184</v>
      </c>
      <c r="I11" s="129" t="s">
        <v>184</v>
      </c>
      <c r="J11" s="144">
        <v>0.65</v>
      </c>
      <c r="K11" s="145">
        <v>0</v>
      </c>
      <c r="L11" s="124"/>
      <c r="M11" s="124"/>
    </row>
    <row r="12" spans="1:13" ht="37.5">
      <c r="A12" s="133"/>
      <c r="B12" s="128" t="s">
        <v>189</v>
      </c>
      <c r="C12" s="135"/>
      <c r="D12" s="133"/>
      <c r="E12" s="133"/>
      <c r="F12" s="133"/>
      <c r="G12" s="133"/>
      <c r="H12" s="135"/>
      <c r="I12" s="133"/>
      <c r="J12" s="146">
        <v>0.65</v>
      </c>
      <c r="K12" s="139"/>
      <c r="L12" s="139"/>
      <c r="M12" s="142"/>
    </row>
    <row r="13" spans="1:13" ht="56.25">
      <c r="A13" s="133">
        <v>4</v>
      </c>
      <c r="B13" s="147" t="s">
        <v>221</v>
      </c>
      <c r="C13" s="133"/>
      <c r="D13" s="133"/>
      <c r="E13" s="133" t="s">
        <v>183</v>
      </c>
      <c r="F13" s="133">
        <v>2</v>
      </c>
      <c r="G13" s="135"/>
      <c r="H13" s="133" t="s">
        <v>184</v>
      </c>
      <c r="I13" s="137" t="s">
        <v>184</v>
      </c>
      <c r="J13" s="148">
        <v>2.019</v>
      </c>
      <c r="K13" s="126">
        <v>0</v>
      </c>
      <c r="L13" s="136"/>
      <c r="M13" s="136"/>
    </row>
    <row r="14" spans="1:13" ht="21.75" customHeight="1">
      <c r="A14" s="133"/>
      <c r="B14" s="149" t="s">
        <v>190</v>
      </c>
      <c r="C14" s="135"/>
      <c r="D14" s="133"/>
      <c r="E14" s="133"/>
      <c r="F14" s="133"/>
      <c r="G14" s="133"/>
      <c r="H14" s="135"/>
      <c r="I14" s="133"/>
      <c r="J14" s="146">
        <v>2.019</v>
      </c>
      <c r="K14" s="139"/>
      <c r="L14" s="139"/>
      <c r="M14" s="142"/>
    </row>
    <row r="15" spans="1:13" ht="18.75" customHeight="1">
      <c r="A15" s="133">
        <v>5</v>
      </c>
      <c r="B15" s="141" t="s">
        <v>223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2"/>
    </row>
    <row r="16" spans="1:13" ht="44.25" customHeight="1">
      <c r="A16" s="133"/>
      <c r="B16" s="143" t="s">
        <v>224</v>
      </c>
      <c r="C16" s="123"/>
      <c r="D16" s="133"/>
      <c r="E16" s="133"/>
      <c r="F16" s="133"/>
      <c r="G16" s="133"/>
      <c r="H16" s="133" t="s">
        <v>184</v>
      </c>
      <c r="I16" s="137" t="s">
        <v>184</v>
      </c>
      <c r="J16" s="148">
        <v>0.006</v>
      </c>
      <c r="K16" s="126">
        <v>0</v>
      </c>
      <c r="L16" s="142"/>
      <c r="M16" s="142"/>
    </row>
    <row r="17" spans="1:13" ht="37.5">
      <c r="A17" s="133"/>
      <c r="B17" s="128" t="s">
        <v>185</v>
      </c>
      <c r="C17" s="123"/>
      <c r="D17" s="133"/>
      <c r="E17" s="133"/>
      <c r="F17" s="133"/>
      <c r="G17" s="133"/>
      <c r="H17" s="135"/>
      <c r="I17" s="137"/>
      <c r="J17" s="146">
        <v>0.006</v>
      </c>
      <c r="K17" s="139"/>
      <c r="L17" s="142"/>
      <c r="M17" s="142"/>
    </row>
    <row r="18" spans="1:13" ht="56.25">
      <c r="A18" s="133"/>
      <c r="B18" s="150" t="s">
        <v>225</v>
      </c>
      <c r="C18" s="123"/>
      <c r="D18" s="133"/>
      <c r="E18" s="133"/>
      <c r="F18" s="133"/>
      <c r="G18" s="133"/>
      <c r="H18" s="133" t="s">
        <v>184</v>
      </c>
      <c r="I18" s="137" t="s">
        <v>184</v>
      </c>
      <c r="J18" s="148">
        <f>4.7/1000</f>
        <v>0.0047</v>
      </c>
      <c r="K18" s="126">
        <v>0</v>
      </c>
      <c r="L18" s="142"/>
      <c r="M18" s="142"/>
    </row>
    <row r="19" spans="1:13" ht="37.5">
      <c r="A19" s="133"/>
      <c r="B19" s="151" t="s">
        <v>185</v>
      </c>
      <c r="C19" s="123"/>
      <c r="D19" s="133"/>
      <c r="E19" s="133"/>
      <c r="F19" s="133"/>
      <c r="G19" s="133"/>
      <c r="H19" s="135"/>
      <c r="I19" s="137"/>
      <c r="J19" s="146">
        <v>0.005</v>
      </c>
      <c r="K19" s="139"/>
      <c r="L19" s="139"/>
      <c r="M19" s="142"/>
    </row>
    <row r="20" spans="1:13" ht="56.25">
      <c r="A20" s="133"/>
      <c r="B20" s="143" t="s">
        <v>226</v>
      </c>
      <c r="C20" s="123"/>
      <c r="D20" s="133"/>
      <c r="E20" s="133"/>
      <c r="F20" s="133"/>
      <c r="G20" s="133"/>
      <c r="H20" s="133" t="s">
        <v>184</v>
      </c>
      <c r="I20" s="137" t="s">
        <v>184</v>
      </c>
      <c r="J20" s="148">
        <v>0.007</v>
      </c>
      <c r="K20" s="126">
        <v>0.006</v>
      </c>
      <c r="L20" s="142"/>
      <c r="M20" s="142"/>
    </row>
    <row r="21" spans="1:13" ht="37.5">
      <c r="A21" s="133"/>
      <c r="B21" s="151" t="s">
        <v>185</v>
      </c>
      <c r="C21" s="123"/>
      <c r="D21" s="133"/>
      <c r="E21" s="133"/>
      <c r="F21" s="133"/>
      <c r="G21" s="133"/>
      <c r="H21" s="135"/>
      <c r="I21" s="137"/>
      <c r="J21" s="146">
        <f>6.5/1000</f>
        <v>0.0065</v>
      </c>
      <c r="K21" s="139">
        <v>0.006</v>
      </c>
      <c r="L21" s="142"/>
      <c r="M21" s="142"/>
    </row>
    <row r="22" spans="1:13" ht="37.5">
      <c r="A22" s="133"/>
      <c r="B22" s="150" t="s">
        <v>227</v>
      </c>
      <c r="C22" s="133">
        <v>607</v>
      </c>
      <c r="D22" s="133">
        <v>607</v>
      </c>
      <c r="E22" s="133" t="s">
        <v>191</v>
      </c>
      <c r="F22" s="133">
        <v>2</v>
      </c>
      <c r="G22" s="135" t="s">
        <v>186</v>
      </c>
      <c r="H22" s="133">
        <v>18.097</v>
      </c>
      <c r="I22" s="137">
        <v>18.165</v>
      </c>
      <c r="J22" s="180">
        <v>18.171</v>
      </c>
      <c r="K22" s="126">
        <v>0.006</v>
      </c>
      <c r="L22" s="142"/>
      <c r="M22" s="142"/>
    </row>
    <row r="23" spans="1:13" ht="37.5">
      <c r="A23" s="133"/>
      <c r="B23" s="128" t="s">
        <v>185</v>
      </c>
      <c r="C23" s="123"/>
      <c r="D23" s="133"/>
      <c r="E23" s="133"/>
      <c r="F23" s="133"/>
      <c r="G23" s="133"/>
      <c r="H23" s="135"/>
      <c r="I23" s="137"/>
      <c r="J23" s="146">
        <f>6.5/1000</f>
        <v>0.0065</v>
      </c>
      <c r="K23" s="139">
        <v>0.006</v>
      </c>
      <c r="L23" s="142"/>
      <c r="M23" s="142"/>
    </row>
    <row r="24" spans="1:13" ht="56.25">
      <c r="A24" s="133"/>
      <c r="B24" s="150" t="s">
        <v>228</v>
      </c>
      <c r="C24" s="123"/>
      <c r="D24" s="133"/>
      <c r="E24" s="133"/>
      <c r="F24" s="133"/>
      <c r="G24" s="135"/>
      <c r="H24" s="133" t="s">
        <v>184</v>
      </c>
      <c r="I24" s="137" t="s">
        <v>184</v>
      </c>
      <c r="J24" s="148">
        <v>0.005</v>
      </c>
      <c r="K24" s="126">
        <v>0.005</v>
      </c>
      <c r="L24" s="142"/>
      <c r="M24" s="142"/>
    </row>
    <row r="25" spans="1:13" ht="37.5">
      <c r="A25" s="133"/>
      <c r="B25" s="128" t="s">
        <v>185</v>
      </c>
      <c r="C25" s="135"/>
      <c r="D25" s="133"/>
      <c r="E25" s="133"/>
      <c r="F25" s="133"/>
      <c r="G25" s="133"/>
      <c r="H25" s="135"/>
      <c r="I25" s="137"/>
      <c r="J25" s="146">
        <f>5/1000</f>
        <v>0.005</v>
      </c>
      <c r="K25" s="139">
        <v>0.005</v>
      </c>
      <c r="L25" s="142"/>
      <c r="M25" s="142"/>
    </row>
    <row r="26" spans="1:13" ht="56.25">
      <c r="A26" s="133">
        <v>6</v>
      </c>
      <c r="B26" s="150" t="s">
        <v>192</v>
      </c>
      <c r="C26" s="135" t="s">
        <v>193</v>
      </c>
      <c r="D26" s="133"/>
      <c r="E26" s="133" t="s">
        <v>194</v>
      </c>
      <c r="F26" s="133" t="s">
        <v>195</v>
      </c>
      <c r="G26" s="133" t="s">
        <v>186</v>
      </c>
      <c r="H26" s="133">
        <v>102.912</v>
      </c>
      <c r="I26" s="152">
        <v>119.142</v>
      </c>
      <c r="J26" s="181">
        <v>116.3</v>
      </c>
      <c r="K26" s="126">
        <v>115.663</v>
      </c>
      <c r="L26" s="136"/>
      <c r="M26" s="136">
        <v>0</v>
      </c>
    </row>
    <row r="27" spans="1:13" ht="75">
      <c r="A27" s="133">
        <v>7</v>
      </c>
      <c r="B27" s="143" t="s">
        <v>196</v>
      </c>
      <c r="C27" s="135"/>
      <c r="D27" s="135"/>
      <c r="E27" s="133"/>
      <c r="F27" s="133"/>
      <c r="G27" s="133"/>
      <c r="H27" s="133" t="s">
        <v>184</v>
      </c>
      <c r="I27" s="152" t="s">
        <v>184</v>
      </c>
      <c r="J27" s="148">
        <v>0</v>
      </c>
      <c r="K27" s="126">
        <v>0</v>
      </c>
      <c r="L27" s="136"/>
      <c r="M27" s="136"/>
    </row>
    <row r="28" spans="1:13" ht="93.75">
      <c r="A28" s="121">
        <v>77</v>
      </c>
      <c r="B28" s="143" t="s">
        <v>229</v>
      </c>
      <c r="C28" s="123" t="s">
        <v>197</v>
      </c>
      <c r="D28" s="121"/>
      <c r="E28" s="121" t="s">
        <v>198</v>
      </c>
      <c r="F28" s="121">
        <v>2</v>
      </c>
      <c r="G28" s="121" t="s">
        <v>186</v>
      </c>
      <c r="H28" s="124">
        <v>3.144</v>
      </c>
      <c r="I28" s="129">
        <v>2.84</v>
      </c>
      <c r="J28" s="144">
        <v>3.4</v>
      </c>
      <c r="K28" s="126">
        <v>2.807</v>
      </c>
      <c r="L28" s="124"/>
      <c r="M28" s="124">
        <v>0</v>
      </c>
    </row>
    <row r="29" spans="1:13" ht="82.5" customHeight="1">
      <c r="A29" s="121">
        <v>8</v>
      </c>
      <c r="B29" s="143" t="s">
        <v>230</v>
      </c>
      <c r="C29" s="123" t="s">
        <v>199</v>
      </c>
      <c r="D29" s="121"/>
      <c r="E29" s="121" t="s">
        <v>198</v>
      </c>
      <c r="F29" s="121">
        <v>2</v>
      </c>
      <c r="G29" s="121" t="s">
        <v>186</v>
      </c>
      <c r="H29" s="124">
        <v>14.295</v>
      </c>
      <c r="I29" s="129">
        <v>14.591</v>
      </c>
      <c r="J29" s="182">
        <v>14.321</v>
      </c>
      <c r="K29" s="126">
        <v>14.306</v>
      </c>
      <c r="L29" s="124"/>
      <c r="M29" s="124">
        <v>0</v>
      </c>
    </row>
    <row r="30" spans="1:13" ht="100.5" customHeight="1">
      <c r="A30" s="121">
        <v>9</v>
      </c>
      <c r="B30" s="143" t="s">
        <v>231</v>
      </c>
      <c r="C30" s="123" t="s">
        <v>200</v>
      </c>
      <c r="D30" s="121"/>
      <c r="E30" s="121" t="s">
        <v>198</v>
      </c>
      <c r="F30" s="121">
        <v>2</v>
      </c>
      <c r="G30" s="121" t="s">
        <v>186</v>
      </c>
      <c r="H30" s="124">
        <v>4.112</v>
      </c>
      <c r="I30" s="129">
        <v>3.375</v>
      </c>
      <c r="J30" s="144">
        <v>3.313</v>
      </c>
      <c r="K30" s="126">
        <v>3.313</v>
      </c>
      <c r="L30" s="124"/>
      <c r="M30" s="124">
        <v>0</v>
      </c>
    </row>
    <row r="31" spans="1:13" ht="56.25">
      <c r="A31" s="121">
        <v>10</v>
      </c>
      <c r="B31" s="143" t="s">
        <v>232</v>
      </c>
      <c r="C31" s="123" t="s">
        <v>201</v>
      </c>
      <c r="D31" s="121"/>
      <c r="E31" s="121" t="s">
        <v>198</v>
      </c>
      <c r="F31" s="121">
        <v>2</v>
      </c>
      <c r="G31" s="121" t="s">
        <v>186</v>
      </c>
      <c r="H31" s="124">
        <v>2.577</v>
      </c>
      <c r="I31" s="129">
        <v>2.577</v>
      </c>
      <c r="J31" s="144">
        <v>2.23</v>
      </c>
      <c r="K31" s="126">
        <v>0.135</v>
      </c>
      <c r="L31" s="124"/>
      <c r="M31" s="124"/>
    </row>
    <row r="32" spans="1:13" ht="37.5">
      <c r="A32" s="121"/>
      <c r="B32" s="128" t="s">
        <v>202</v>
      </c>
      <c r="C32" s="123"/>
      <c r="D32" s="123"/>
      <c r="E32" s="121"/>
      <c r="F32" s="121"/>
      <c r="G32" s="121"/>
      <c r="H32" s="121"/>
      <c r="I32" s="124"/>
      <c r="J32" s="153">
        <v>0.135</v>
      </c>
      <c r="K32" s="145">
        <v>0.135</v>
      </c>
      <c r="L32" s="124"/>
      <c r="M32" s="124"/>
    </row>
    <row r="33" spans="1:13" ht="75">
      <c r="A33" s="121">
        <v>11</v>
      </c>
      <c r="B33" s="143" t="s">
        <v>233</v>
      </c>
      <c r="C33" s="123" t="s">
        <v>203</v>
      </c>
      <c r="D33" s="121"/>
      <c r="E33" s="121" t="s">
        <v>198</v>
      </c>
      <c r="F33" s="121">
        <v>2</v>
      </c>
      <c r="G33" s="121" t="s">
        <v>186</v>
      </c>
      <c r="H33" s="124">
        <v>28.147</v>
      </c>
      <c r="I33" s="129">
        <v>28.288</v>
      </c>
      <c r="J33" s="182">
        <v>32.137</v>
      </c>
      <c r="K33" s="126">
        <v>0.409</v>
      </c>
      <c r="L33" s="124"/>
      <c r="M33" s="124"/>
    </row>
    <row r="34" spans="1:13" ht="75">
      <c r="A34" s="121"/>
      <c r="B34" s="154" t="s">
        <v>204</v>
      </c>
      <c r="C34" s="123"/>
      <c r="D34" s="123"/>
      <c r="E34" s="121"/>
      <c r="F34" s="121"/>
      <c r="G34" s="121"/>
      <c r="H34" s="121"/>
      <c r="I34" s="124"/>
      <c r="J34" s="153">
        <f>0.385+0.045+0.336</f>
        <v>0.766</v>
      </c>
      <c r="K34" s="155">
        <v>0.409</v>
      </c>
      <c r="L34" s="132"/>
      <c r="M34" s="132"/>
    </row>
    <row r="35" spans="1:13" ht="60" customHeight="1">
      <c r="A35" s="121">
        <v>12</v>
      </c>
      <c r="B35" s="156" t="s">
        <v>234</v>
      </c>
      <c r="C35" s="157"/>
      <c r="D35" s="158"/>
      <c r="E35" s="121" t="s">
        <v>198</v>
      </c>
      <c r="F35" s="121">
        <v>2</v>
      </c>
      <c r="G35" s="159" t="s">
        <v>186</v>
      </c>
      <c r="H35" s="144" t="s">
        <v>184</v>
      </c>
      <c r="I35" s="160" t="s">
        <v>184</v>
      </c>
      <c r="J35" s="144">
        <v>0.52</v>
      </c>
      <c r="K35" s="126">
        <v>0.281</v>
      </c>
      <c r="L35" s="144"/>
      <c r="M35" s="144"/>
    </row>
    <row r="36" spans="1:13" ht="56.25">
      <c r="A36" s="121"/>
      <c r="B36" s="161" t="s">
        <v>205</v>
      </c>
      <c r="C36" s="157"/>
      <c r="D36" s="157"/>
      <c r="E36" s="159"/>
      <c r="F36" s="159"/>
      <c r="G36" s="159"/>
      <c r="H36" s="159"/>
      <c r="I36" s="144"/>
      <c r="J36" s="153">
        <f>0.371+0.019+0.13</f>
        <v>0.52</v>
      </c>
      <c r="K36" s="145">
        <v>0.281</v>
      </c>
      <c r="L36" s="144"/>
      <c r="M36" s="144"/>
    </row>
    <row r="37" spans="1:13" ht="56.25">
      <c r="A37" s="121">
        <v>13</v>
      </c>
      <c r="B37" s="143" t="s">
        <v>235</v>
      </c>
      <c r="C37" s="123" t="s">
        <v>206</v>
      </c>
      <c r="D37" s="121"/>
      <c r="E37" s="133" t="s">
        <v>194</v>
      </c>
      <c r="F37" s="133" t="s">
        <v>195</v>
      </c>
      <c r="G37" s="121" t="s">
        <v>186</v>
      </c>
      <c r="H37" s="124" t="s">
        <v>184</v>
      </c>
      <c r="I37" s="129" t="s">
        <v>184</v>
      </c>
      <c r="J37" s="144">
        <v>0.5</v>
      </c>
      <c r="K37" s="126">
        <v>0.218</v>
      </c>
      <c r="L37" s="124"/>
      <c r="M37" s="124"/>
    </row>
    <row r="38" spans="1:13" ht="56.25">
      <c r="A38" s="121"/>
      <c r="B38" s="128" t="s">
        <v>207</v>
      </c>
      <c r="C38" s="123"/>
      <c r="D38" s="123"/>
      <c r="E38" s="121"/>
      <c r="F38" s="121"/>
      <c r="G38" s="121"/>
      <c r="H38" s="121"/>
      <c r="I38" s="124"/>
      <c r="J38" s="153">
        <f>0.343+0.027+0.13</f>
        <v>0.5</v>
      </c>
      <c r="K38" s="155">
        <v>0.218</v>
      </c>
      <c r="L38" s="132"/>
      <c r="M38" s="132"/>
    </row>
    <row r="39" spans="1:13" ht="56.25">
      <c r="A39" s="121">
        <v>14</v>
      </c>
      <c r="B39" s="143" t="s">
        <v>236</v>
      </c>
      <c r="C39" s="123" t="s">
        <v>208</v>
      </c>
      <c r="D39" s="121"/>
      <c r="E39" s="121" t="s">
        <v>198</v>
      </c>
      <c r="F39" s="121">
        <v>2</v>
      </c>
      <c r="G39" s="121" t="s">
        <v>186</v>
      </c>
      <c r="H39" s="124" t="s">
        <v>184</v>
      </c>
      <c r="I39" s="129" t="s">
        <v>184</v>
      </c>
      <c r="J39" s="144">
        <v>0.423</v>
      </c>
      <c r="K39" s="126">
        <v>0.219</v>
      </c>
      <c r="L39" s="124"/>
      <c r="M39" s="124"/>
    </row>
    <row r="40" spans="1:13" ht="56.25">
      <c r="A40" s="121"/>
      <c r="B40" s="154" t="s">
        <v>207</v>
      </c>
      <c r="C40" s="123"/>
      <c r="D40" s="123"/>
      <c r="E40" s="121"/>
      <c r="F40" s="121"/>
      <c r="G40" s="121"/>
      <c r="H40" s="121"/>
      <c r="I40" s="124"/>
      <c r="J40" s="153">
        <f>0.29+0.018+0.115</f>
        <v>0.423</v>
      </c>
      <c r="K40" s="155">
        <v>0.219</v>
      </c>
      <c r="L40" s="132"/>
      <c r="M40" s="132"/>
    </row>
    <row r="41" spans="1:13" ht="56.25">
      <c r="A41" s="121">
        <v>15</v>
      </c>
      <c r="B41" s="143" t="s">
        <v>237</v>
      </c>
      <c r="C41" s="123" t="s">
        <v>209</v>
      </c>
      <c r="D41" s="121"/>
      <c r="E41" s="121" t="s">
        <v>198</v>
      </c>
      <c r="F41" s="121">
        <v>2</v>
      </c>
      <c r="G41" s="121" t="s">
        <v>186</v>
      </c>
      <c r="H41" s="124" t="s">
        <v>184</v>
      </c>
      <c r="I41" s="129" t="s">
        <v>184</v>
      </c>
      <c r="J41" s="144">
        <v>0.532</v>
      </c>
      <c r="K41" s="126">
        <v>0.174</v>
      </c>
      <c r="L41" s="124"/>
      <c r="M41" s="124"/>
    </row>
    <row r="42" spans="1:13" ht="56.25">
      <c r="A42" s="121"/>
      <c r="B42" s="151" t="s">
        <v>205</v>
      </c>
      <c r="C42" s="123"/>
      <c r="D42" s="123"/>
      <c r="E42" s="121"/>
      <c r="F42" s="121"/>
      <c r="G42" s="121"/>
      <c r="H42" s="121"/>
      <c r="I42" s="124"/>
      <c r="J42" s="153">
        <f>0.384+0.018+0.13</f>
        <v>0.532</v>
      </c>
      <c r="K42" s="155">
        <f>0.173+0.001</f>
        <v>0.174</v>
      </c>
      <c r="L42" s="132"/>
      <c r="M42" s="132"/>
    </row>
    <row r="43" spans="1:13" ht="63.75" customHeight="1">
      <c r="A43" s="162">
        <v>16</v>
      </c>
      <c r="B43" s="156" t="s">
        <v>238</v>
      </c>
      <c r="C43" s="163" t="s">
        <v>210</v>
      </c>
      <c r="D43" s="159"/>
      <c r="E43" s="121" t="s">
        <v>198</v>
      </c>
      <c r="F43" s="121">
        <v>2</v>
      </c>
      <c r="G43" s="159" t="s">
        <v>186</v>
      </c>
      <c r="H43" s="144">
        <v>5.167</v>
      </c>
      <c r="I43" s="160">
        <v>3.899</v>
      </c>
      <c r="J43" s="144">
        <v>9.235</v>
      </c>
      <c r="K43" s="126">
        <v>0.292</v>
      </c>
      <c r="L43" s="144"/>
      <c r="M43" s="144"/>
    </row>
    <row r="44" spans="1:13" ht="56.25">
      <c r="A44" s="162"/>
      <c r="B44" s="161" t="s">
        <v>207</v>
      </c>
      <c r="C44" s="157"/>
      <c r="D44" s="157"/>
      <c r="E44" s="159"/>
      <c r="F44" s="159"/>
      <c r="G44" s="159"/>
      <c r="H44" s="159"/>
      <c r="I44" s="144"/>
      <c r="J44" s="153">
        <f>0.565+0.045+0.125</f>
        <v>0.735</v>
      </c>
      <c r="K44" s="155">
        <v>0.292</v>
      </c>
      <c r="L44" s="153"/>
      <c r="M44" s="153"/>
    </row>
    <row r="45" spans="1:13" ht="56.25">
      <c r="A45" s="121">
        <v>17</v>
      </c>
      <c r="B45" s="156" t="s">
        <v>239</v>
      </c>
      <c r="C45" s="157" t="s">
        <v>201</v>
      </c>
      <c r="D45" s="159"/>
      <c r="E45" s="121" t="s">
        <v>198</v>
      </c>
      <c r="F45" s="121">
        <v>2</v>
      </c>
      <c r="G45" s="159" t="s">
        <v>186</v>
      </c>
      <c r="H45" s="144">
        <v>1.925</v>
      </c>
      <c r="I45" s="160">
        <v>1.925</v>
      </c>
      <c r="J45" s="144">
        <v>3.891</v>
      </c>
      <c r="K45" s="126">
        <v>0.208</v>
      </c>
      <c r="L45" s="144"/>
      <c r="M45" s="144"/>
    </row>
    <row r="46" spans="1:13" ht="56.25">
      <c r="A46" s="121"/>
      <c r="B46" s="161" t="s">
        <v>207</v>
      </c>
      <c r="C46" s="157"/>
      <c r="D46" s="157"/>
      <c r="E46" s="159"/>
      <c r="F46" s="159"/>
      <c r="G46" s="159"/>
      <c r="H46" s="159"/>
      <c r="I46" s="144"/>
      <c r="J46" s="153">
        <f>0.281+0.005+0.105</f>
        <v>0.391</v>
      </c>
      <c r="K46" s="155">
        <v>0.208</v>
      </c>
      <c r="L46" s="153"/>
      <c r="M46" s="153"/>
    </row>
    <row r="47" spans="1:13" ht="18.75">
      <c r="A47" s="113" t="s">
        <v>211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</row>
    <row r="48" spans="1:13" ht="56.25">
      <c r="A48" s="121">
        <v>18</v>
      </c>
      <c r="B48" s="164" t="s">
        <v>240</v>
      </c>
      <c r="C48" s="123"/>
      <c r="D48" s="127">
        <v>43.15</v>
      </c>
      <c r="E48" s="121" t="s">
        <v>183</v>
      </c>
      <c r="F48" s="121">
        <v>2</v>
      </c>
      <c r="G48" s="121" t="s">
        <v>212</v>
      </c>
      <c r="H48" s="121" t="s">
        <v>184</v>
      </c>
      <c r="I48" s="121" t="s">
        <v>184</v>
      </c>
      <c r="J48" s="144">
        <v>0.2</v>
      </c>
      <c r="K48" s="126">
        <v>0</v>
      </c>
      <c r="L48" s="124"/>
      <c r="M48" s="124"/>
    </row>
    <row r="49" spans="1:13" ht="37.5">
      <c r="A49" s="121"/>
      <c r="B49" s="151" t="s">
        <v>213</v>
      </c>
      <c r="C49" s="123"/>
      <c r="D49" s="121"/>
      <c r="E49" s="127"/>
      <c r="F49" s="121"/>
      <c r="G49" s="121"/>
      <c r="H49" s="121"/>
      <c r="I49" s="121"/>
      <c r="J49" s="153">
        <v>0.2</v>
      </c>
      <c r="K49" s="126"/>
      <c r="L49" s="126"/>
      <c r="M49" s="124"/>
    </row>
    <row r="50" spans="1:13" ht="56.25">
      <c r="A50" s="121">
        <v>19</v>
      </c>
      <c r="B50" s="143" t="s">
        <v>241</v>
      </c>
      <c r="C50" s="123"/>
      <c r="D50" s="121">
        <v>50.2</v>
      </c>
      <c r="E50" s="121" t="s">
        <v>183</v>
      </c>
      <c r="F50" s="121">
        <v>2</v>
      </c>
      <c r="G50" s="121" t="s">
        <v>186</v>
      </c>
      <c r="H50" s="124">
        <v>24.63</v>
      </c>
      <c r="I50" s="121">
        <v>1.483</v>
      </c>
      <c r="J50" s="144">
        <v>1.483</v>
      </c>
      <c r="K50" s="145">
        <v>1.468</v>
      </c>
      <c r="L50" s="124"/>
      <c r="M50" s="124"/>
    </row>
    <row r="51" spans="1:13" ht="75">
      <c r="A51" s="121">
        <v>20</v>
      </c>
      <c r="B51" s="143" t="s">
        <v>242</v>
      </c>
      <c r="C51" s="123"/>
      <c r="D51" s="121"/>
      <c r="E51" s="121" t="s">
        <v>198</v>
      </c>
      <c r="F51" s="121">
        <v>2</v>
      </c>
      <c r="G51" s="121" t="s">
        <v>186</v>
      </c>
      <c r="H51" s="121">
        <v>8.988</v>
      </c>
      <c r="I51" s="121">
        <v>10.916</v>
      </c>
      <c r="J51" s="182">
        <v>10.917</v>
      </c>
      <c r="K51" s="126">
        <v>6.144</v>
      </c>
      <c r="L51" s="124"/>
      <c r="M51" s="124"/>
    </row>
    <row r="52" spans="1:13" ht="18.75">
      <c r="A52" s="121"/>
      <c r="B52" s="128" t="s">
        <v>214</v>
      </c>
      <c r="C52" s="123"/>
      <c r="D52" s="121"/>
      <c r="E52" s="121"/>
      <c r="F52" s="121"/>
      <c r="G52" s="121"/>
      <c r="H52" s="121"/>
      <c r="I52" s="121"/>
      <c r="J52" s="153">
        <f>30/1000</f>
        <v>0.03</v>
      </c>
      <c r="K52" s="155"/>
      <c r="L52" s="155"/>
      <c r="M52" s="132"/>
    </row>
    <row r="53" spans="1:13" ht="38.25" thickBot="1">
      <c r="A53" s="121">
        <v>21</v>
      </c>
      <c r="B53" s="143" t="s">
        <v>215</v>
      </c>
      <c r="C53" s="123"/>
      <c r="D53" s="121"/>
      <c r="E53" s="121"/>
      <c r="F53" s="121"/>
      <c r="G53" s="121"/>
      <c r="H53" s="121"/>
      <c r="I53" s="121"/>
      <c r="J53" s="182">
        <v>13.338</v>
      </c>
      <c r="K53" s="126">
        <v>0</v>
      </c>
      <c r="L53" s="124"/>
      <c r="M53" s="124"/>
    </row>
    <row r="54" spans="1:13" ht="37.5">
      <c r="A54" s="165"/>
      <c r="B54" s="166" t="s">
        <v>216</v>
      </c>
      <c r="C54" s="167"/>
      <c r="D54" s="168"/>
      <c r="E54" s="168"/>
      <c r="F54" s="168"/>
      <c r="G54" s="168"/>
      <c r="H54" s="168"/>
      <c r="I54" s="168"/>
      <c r="J54" s="183">
        <f>J7+J9+J11+J13+J16+J18+J20+J22+J24+J26+J27+J28+J29+J30+J31+J33+J35+J37+J39+J41+J43+J45+J48+J50+J51+J53</f>
        <v>607.8916999999999</v>
      </c>
      <c r="K54" s="169">
        <f>K7+K9+K11+K13+K16+K18+K20+K22+K24+K26+K27+K28+K29+K30+K31+K33+K35+K37+K39+K41+K43+K45+K48+K50+K51+K53</f>
        <v>519.6979999999999</v>
      </c>
      <c r="L54" s="170">
        <f>L7+L9+L11+L13+L16+L18+L20+L22+L24+L26+L27+L28+L29+L30+L31+L33+L35+L37+L39+L41+L43+L45+L48+L50+L51+L53</f>
        <v>0</v>
      </c>
      <c r="M54" s="170">
        <f>M7+M9+M11+M13+M16+M18+M20+M22+M24+M26+M27+M28+M29+M30+M31+M33+M35+M37+M39+M41+M43+M45+M48+M50+M51+M53</f>
        <v>0</v>
      </c>
    </row>
    <row r="55" spans="1:13" ht="18.75">
      <c r="A55" s="171"/>
      <c r="B55" s="172" t="s">
        <v>217</v>
      </c>
      <c r="C55" s="173"/>
      <c r="D55" s="171"/>
      <c r="E55" s="171"/>
      <c r="F55" s="171"/>
      <c r="G55" s="171"/>
      <c r="H55" s="171"/>
      <c r="I55" s="171"/>
      <c r="J55" s="184">
        <v>325.84</v>
      </c>
      <c r="K55" s="153">
        <v>325.84</v>
      </c>
      <c r="L55" s="174"/>
      <c r="M55" s="174"/>
    </row>
    <row r="56" spans="1:13" ht="56.25">
      <c r="A56" s="175"/>
      <c r="B56" s="176" t="s">
        <v>218</v>
      </c>
      <c r="C56" s="177"/>
      <c r="D56" s="175"/>
      <c r="E56" s="175"/>
      <c r="F56" s="175"/>
      <c r="G56" s="175"/>
      <c r="H56" s="175"/>
      <c r="I56" s="175"/>
      <c r="J56" s="185">
        <f>J8+J10+J12+J14+J17+J19+J21+J23+J25+J32+J34+J36+J38+J40+J42+J44+J46+J49+J52+J53</f>
        <v>20.366</v>
      </c>
      <c r="K56" s="146">
        <f>K8+K10+K12+K14+K17+K19+K21+K23+K25+K32+K34+K36+K38+K40+K42+K44+K46+K52+K53</f>
        <v>2.2960000000000003</v>
      </c>
      <c r="L56" s="142">
        <f>L8+L10+L12+L14+L17+L19+L21+L23+L25+L32+L34+L36+L38+L40+L42+L44+L46+L52+L53</f>
        <v>0</v>
      </c>
      <c r="M56" s="142">
        <f>M8+M10+M12+M14+M17+M19+M21+M23+M25+M32+M34+M36+M38+M40+M42+M44+M46+M52+M53</f>
        <v>0</v>
      </c>
    </row>
  </sheetData>
  <mergeCells count="16">
    <mergeCell ref="A2:M2"/>
    <mergeCell ref="A3:A5"/>
    <mergeCell ref="B3:B5"/>
    <mergeCell ref="C3:D3"/>
    <mergeCell ref="E3:E5"/>
    <mergeCell ref="F3:F5"/>
    <mergeCell ref="G3:G5"/>
    <mergeCell ref="H3:H5"/>
    <mergeCell ref="I3:I5"/>
    <mergeCell ref="J3:M3"/>
    <mergeCell ref="A6:M6"/>
    <mergeCell ref="B15:M15"/>
    <mergeCell ref="A47:M47"/>
    <mergeCell ref="C4:C5"/>
    <mergeCell ref="D4:D5"/>
    <mergeCell ref="J4:K4"/>
  </mergeCells>
  <printOptions/>
  <pageMargins left="0" right="0" top="0.27569444444444446" bottom="0.11805555555555555" header="0.5118055555555555" footer="0.5118055555555555"/>
  <pageSetup fitToHeight="100" fitToWidth="1" horizontalDpi="300" verticalDpi="3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2"/>
  <sheetViews>
    <sheetView view="pageBreakPreview" zoomScale="75" zoomScaleNormal="75" zoomScaleSheetLayoutView="75" workbookViewId="0" topLeftCell="A7">
      <selection activeCell="N7" sqref="N7:Q12"/>
    </sheetView>
  </sheetViews>
  <sheetFormatPr defaultColWidth="8.3984375" defaultRowHeight="14.25" outlineLevelCol="1"/>
  <cols>
    <col min="1" max="1" width="4.5" style="34" customWidth="1"/>
    <col min="2" max="2" width="24.19921875" style="34" customWidth="1"/>
    <col min="3" max="3" width="4.59765625" style="34" customWidth="1" outlineLevel="1"/>
    <col min="4" max="4" width="8.5" style="34" customWidth="1" outlineLevel="1"/>
    <col min="5" max="5" width="10.09765625" style="34" customWidth="1" outlineLevel="1"/>
    <col min="6" max="6" width="10.09765625" style="74" customWidth="1"/>
    <col min="7" max="7" width="10.8984375" style="34" customWidth="1"/>
    <col min="8" max="9" width="10.59765625" style="34" customWidth="1"/>
    <col min="10" max="10" width="17.3984375" style="34" customWidth="1"/>
    <col min="11" max="12" width="16.19921875" style="34" customWidth="1"/>
    <col min="13" max="13" width="18.8984375" style="34" customWidth="1"/>
    <col min="14" max="15" width="9.59765625" style="34" customWidth="1"/>
    <col min="16" max="16" width="11.59765625" style="34" customWidth="1"/>
    <col min="17" max="17" width="12" style="34" customWidth="1"/>
    <col min="18" max="16384" width="8.09765625" style="34" customWidth="1"/>
  </cols>
  <sheetData>
    <row r="1" ht="30" customHeight="1">
      <c r="Q1" s="82" t="s">
        <v>119</v>
      </c>
    </row>
    <row r="2" spans="1:17" s="100" customFormat="1" ht="36.75" customHeight="1">
      <c r="A2" s="269" t="str">
        <f>"Перечень объектов автомобильных дорог регионального значения, на которых осуществляется капитальный ремонт в "&amp;'1 Доходы  '!$M$1&amp;" году и в плановый период "&amp;'1 Доходы  '!$M$1+1&amp;" и "&amp;'1 Доходы  '!$M$1+2&amp;" годов"</f>
        <v>Перечень объектов автомобильных дорог регионального значения, на которых осуществляется капитальный ремонт в 2016 году и в плановый период 2017 и 2018 годов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</row>
    <row r="3" spans="1:17" s="87" customFormat="1" ht="55.5" customHeight="1">
      <c r="A3" s="267" t="s">
        <v>120</v>
      </c>
      <c r="B3" s="267" t="s">
        <v>121</v>
      </c>
      <c r="C3" s="270" t="s">
        <v>122</v>
      </c>
      <c r="D3" s="270" t="s">
        <v>123</v>
      </c>
      <c r="E3" s="267" t="s">
        <v>124</v>
      </c>
      <c r="F3" s="267"/>
      <c r="G3" s="268" t="s">
        <v>125</v>
      </c>
      <c r="H3" s="268"/>
      <c r="I3" s="265" t="s">
        <v>117</v>
      </c>
      <c r="J3" s="265"/>
      <c r="K3" s="265" t="s">
        <v>113</v>
      </c>
      <c r="L3" s="265" t="s">
        <v>126</v>
      </c>
      <c r="M3" s="265" t="s">
        <v>127</v>
      </c>
      <c r="N3" s="266" t="s">
        <v>128</v>
      </c>
      <c r="O3" s="266"/>
      <c r="P3" s="266"/>
      <c r="Q3" s="266"/>
    </row>
    <row r="4" spans="1:17" s="75" customFormat="1" ht="18.75" customHeight="1">
      <c r="A4" s="267"/>
      <c r="B4" s="267"/>
      <c r="C4" s="270"/>
      <c r="D4" s="270"/>
      <c r="E4" s="267" t="s">
        <v>129</v>
      </c>
      <c r="F4" s="267" t="s">
        <v>130</v>
      </c>
      <c r="G4" s="268" t="s">
        <v>48</v>
      </c>
      <c r="H4" s="268" t="s">
        <v>131</v>
      </c>
      <c r="I4" s="266" t="s">
        <v>48</v>
      </c>
      <c r="J4" s="268" t="s">
        <v>132</v>
      </c>
      <c r="K4" s="265"/>
      <c r="L4" s="265"/>
      <c r="M4" s="265"/>
      <c r="N4" s="254" t="str">
        <f>'1 Доходы  '!$M$1&amp;" год"</f>
        <v>2016 год</v>
      </c>
      <c r="O4" s="254"/>
      <c r="P4" s="17" t="str">
        <f>'1 Доходы  '!$M$1+1&amp;" год"</f>
        <v>2017 год</v>
      </c>
      <c r="Q4" s="17" t="str">
        <f>'1 Доходы  '!$M$1+2&amp;" год"</f>
        <v>2018 год</v>
      </c>
    </row>
    <row r="5" spans="1:17" s="75" customFormat="1" ht="116.25" customHeight="1">
      <c r="A5" s="267"/>
      <c r="B5" s="267"/>
      <c r="C5" s="270"/>
      <c r="D5" s="270"/>
      <c r="E5" s="267"/>
      <c r="F5" s="267"/>
      <c r="G5" s="268"/>
      <c r="H5" s="268"/>
      <c r="I5" s="266"/>
      <c r="J5" s="268"/>
      <c r="K5" s="265"/>
      <c r="L5" s="265"/>
      <c r="M5" s="265"/>
      <c r="N5" s="1" t="s">
        <v>5</v>
      </c>
      <c r="O5" s="1" t="s">
        <v>6</v>
      </c>
      <c r="P5" s="1" t="s">
        <v>5</v>
      </c>
      <c r="Q5" s="1" t="s">
        <v>5</v>
      </c>
    </row>
    <row r="6" spans="1:21" s="105" customFormat="1" ht="26.25" customHeight="1">
      <c r="A6" s="92">
        <v>1</v>
      </c>
      <c r="B6" s="96">
        <v>2</v>
      </c>
      <c r="C6" s="37">
        <v>3</v>
      </c>
      <c r="D6" s="37">
        <v>4</v>
      </c>
      <c r="E6" s="37">
        <v>5</v>
      </c>
      <c r="F6" s="83">
        <v>6</v>
      </c>
      <c r="G6" s="16">
        <v>7</v>
      </c>
      <c r="H6" s="16">
        <v>8</v>
      </c>
      <c r="I6" s="16">
        <v>9</v>
      </c>
      <c r="J6" s="16">
        <v>10</v>
      </c>
      <c r="K6" s="16">
        <v>11</v>
      </c>
      <c r="L6" s="16">
        <v>12</v>
      </c>
      <c r="M6" s="16">
        <v>13</v>
      </c>
      <c r="N6" s="28">
        <v>14</v>
      </c>
      <c r="O6" s="28">
        <v>15</v>
      </c>
      <c r="P6" s="28">
        <v>16</v>
      </c>
      <c r="Q6" s="28">
        <v>17</v>
      </c>
      <c r="R6" s="27"/>
      <c r="S6" s="27"/>
      <c r="T6" s="27"/>
      <c r="U6" s="27"/>
    </row>
    <row r="7" spans="1:17" ht="131.25">
      <c r="A7" s="186">
        <v>1</v>
      </c>
      <c r="B7" s="187" t="s">
        <v>243</v>
      </c>
      <c r="C7" s="188" t="s">
        <v>183</v>
      </c>
      <c r="D7" s="188">
        <v>2375</v>
      </c>
      <c r="E7" s="188" t="s">
        <v>244</v>
      </c>
      <c r="F7" s="188" t="s">
        <v>245</v>
      </c>
      <c r="G7" s="189">
        <v>4.593</v>
      </c>
      <c r="H7" s="189"/>
      <c r="I7" s="189">
        <v>4.593</v>
      </c>
      <c r="J7" s="189"/>
      <c r="K7" s="189">
        <v>193.593</v>
      </c>
      <c r="L7" s="189">
        <v>199.937</v>
      </c>
      <c r="M7" s="189">
        <v>194.577</v>
      </c>
      <c r="N7" s="190">
        <v>194.577</v>
      </c>
      <c r="O7" s="191">
        <v>194.577</v>
      </c>
      <c r="P7" s="192"/>
      <c r="Q7" s="192"/>
    </row>
    <row r="8" spans="1:17" ht="168.75">
      <c r="A8" s="186">
        <v>2</v>
      </c>
      <c r="B8" s="187" t="s">
        <v>246</v>
      </c>
      <c r="C8" s="188" t="s">
        <v>198</v>
      </c>
      <c r="D8" s="188">
        <v>9557</v>
      </c>
      <c r="E8" s="188" t="s">
        <v>247</v>
      </c>
      <c r="F8" s="188" t="s">
        <v>245</v>
      </c>
      <c r="G8" s="189">
        <v>0.727</v>
      </c>
      <c r="H8" s="189"/>
      <c r="I8" s="189">
        <v>0.727</v>
      </c>
      <c r="J8" s="189"/>
      <c r="K8" s="189">
        <v>24.117</v>
      </c>
      <c r="L8" s="189">
        <v>31.059</v>
      </c>
      <c r="M8" s="189">
        <f>29.497</f>
        <v>29.497</v>
      </c>
      <c r="N8" s="190">
        <v>29.795</v>
      </c>
      <c r="O8" s="190">
        <v>29.497</v>
      </c>
      <c r="P8" s="192"/>
      <c r="Q8" s="192"/>
    </row>
    <row r="9" spans="1:17" ht="131.25">
      <c r="A9" s="186">
        <v>3</v>
      </c>
      <c r="B9" s="187" t="s">
        <v>248</v>
      </c>
      <c r="C9" s="188" t="s">
        <v>198</v>
      </c>
      <c r="D9" s="188">
        <v>2954</v>
      </c>
      <c r="E9" s="188" t="s">
        <v>249</v>
      </c>
      <c r="F9" s="188" t="s">
        <v>250</v>
      </c>
      <c r="G9" s="193">
        <v>48.4</v>
      </c>
      <c r="H9" s="189">
        <v>48.4</v>
      </c>
      <c r="I9" s="194"/>
      <c r="J9" s="189">
        <v>48.4</v>
      </c>
      <c r="K9" s="189">
        <v>38.652</v>
      </c>
      <c r="L9" s="189">
        <v>39.816</v>
      </c>
      <c r="M9" s="189">
        <v>38.024</v>
      </c>
      <c r="N9" s="191">
        <v>38.024</v>
      </c>
      <c r="O9" s="191">
        <v>30.737</v>
      </c>
      <c r="P9" s="192"/>
      <c r="Q9" s="192"/>
    </row>
    <row r="10" spans="1:17" ht="150">
      <c r="A10" s="186">
        <v>4</v>
      </c>
      <c r="B10" s="187" t="s">
        <v>251</v>
      </c>
      <c r="C10" s="188" t="s">
        <v>198</v>
      </c>
      <c r="D10" s="188">
        <v>3196</v>
      </c>
      <c r="E10" s="188" t="s">
        <v>249</v>
      </c>
      <c r="F10" s="188" t="s">
        <v>252</v>
      </c>
      <c r="G10" s="193">
        <v>81.5</v>
      </c>
      <c r="H10" s="193">
        <v>81.5</v>
      </c>
      <c r="I10" s="194"/>
      <c r="J10" s="189">
        <v>81.5</v>
      </c>
      <c r="K10" s="189">
        <v>50.174</v>
      </c>
      <c r="L10" s="189">
        <v>51.687</v>
      </c>
      <c r="M10" s="189">
        <v>49.908</v>
      </c>
      <c r="N10" s="190">
        <v>48.161</v>
      </c>
      <c r="O10" s="191">
        <v>20.273</v>
      </c>
      <c r="P10" s="192"/>
      <c r="Q10" s="192"/>
    </row>
    <row r="11" spans="1:17" ht="57" thickBot="1">
      <c r="A11" s="186">
        <v>5</v>
      </c>
      <c r="B11" s="195" t="s">
        <v>253</v>
      </c>
      <c r="C11" s="196"/>
      <c r="D11" s="188"/>
      <c r="E11" s="188"/>
      <c r="F11" s="188"/>
      <c r="G11" s="197"/>
      <c r="H11" s="198"/>
      <c r="I11" s="197"/>
      <c r="J11" s="198"/>
      <c r="K11" s="199"/>
      <c r="L11" s="189"/>
      <c r="M11" s="189"/>
      <c r="N11" s="190">
        <v>5.018</v>
      </c>
      <c r="O11" s="190">
        <v>2.16</v>
      </c>
      <c r="P11" s="199"/>
      <c r="Q11" s="199"/>
    </row>
    <row r="12" spans="1:17" ht="75.75" thickBot="1">
      <c r="A12" s="200"/>
      <c r="B12" s="201" t="s">
        <v>254</v>
      </c>
      <c r="C12" s="202"/>
      <c r="D12" s="202"/>
      <c r="E12" s="202"/>
      <c r="F12" s="203"/>
      <c r="G12" s="204" t="s">
        <v>255</v>
      </c>
      <c r="H12" s="205"/>
      <c r="I12" s="205"/>
      <c r="J12" s="205"/>
      <c r="K12" s="205"/>
      <c r="L12" s="205"/>
      <c r="M12" s="205"/>
      <c r="N12" s="206">
        <f>SUM(N7:N11)</f>
        <v>315.575</v>
      </c>
      <c r="O12" s="206">
        <f>SUM(O7:O11)</f>
        <v>277.244</v>
      </c>
      <c r="P12" s="207">
        <f>SUM(P7:P11)</f>
        <v>0</v>
      </c>
      <c r="Q12" s="207">
        <f>SUM(Q7:Q11)</f>
        <v>0</v>
      </c>
    </row>
  </sheetData>
  <mergeCells count="19">
    <mergeCell ref="A2:Q2"/>
    <mergeCell ref="A3:A5"/>
    <mergeCell ref="B3:B5"/>
    <mergeCell ref="C3:C5"/>
    <mergeCell ref="D3:D5"/>
    <mergeCell ref="E3:F3"/>
    <mergeCell ref="G3:H3"/>
    <mergeCell ref="I3:J3"/>
    <mergeCell ref="K3:K5"/>
    <mergeCell ref="L3:L5"/>
    <mergeCell ref="M3:M5"/>
    <mergeCell ref="N3:Q3"/>
    <mergeCell ref="E4:E5"/>
    <mergeCell ref="F4:F5"/>
    <mergeCell ref="G4:G5"/>
    <mergeCell ref="H4:H5"/>
    <mergeCell ref="I4:I5"/>
    <mergeCell ref="J4:J5"/>
    <mergeCell ref="N4:O4"/>
  </mergeCells>
  <printOptions/>
  <pageMargins left="0.39375" right="0.39375" top="0.7875" bottom="0.5902777777777778" header="0.5118055555555555" footer="0.5118055555555555"/>
  <pageSetup horizontalDpi="300" verticalDpi="3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6"/>
  <sheetViews>
    <sheetView view="pageBreakPreview" zoomScale="75" zoomScaleNormal="75" zoomScaleSheetLayoutView="75" workbookViewId="0" topLeftCell="A1">
      <selection activeCell="A46" sqref="A46"/>
    </sheetView>
  </sheetViews>
  <sheetFormatPr defaultColWidth="9.3984375" defaultRowHeight="14.25"/>
  <cols>
    <col min="1" max="1" width="46.3984375" style="44" customWidth="1"/>
    <col min="2" max="2" width="10.8984375" style="108" customWidth="1"/>
    <col min="3" max="3" width="11.09765625" style="108" customWidth="1"/>
    <col min="4" max="4" width="18.09765625" style="44" customWidth="1"/>
    <col min="5" max="5" width="11" style="44" customWidth="1"/>
    <col min="6" max="6" width="10.59765625" style="44" customWidth="1"/>
    <col min="7" max="7" width="13.5" style="44" customWidth="1"/>
    <col min="8" max="16384" width="9" style="44" customWidth="1"/>
  </cols>
  <sheetData>
    <row r="1" spans="1:7" ht="18.75">
      <c r="A1" s="31"/>
      <c r="D1" s="31"/>
      <c r="E1" s="31"/>
      <c r="F1" s="31"/>
      <c r="G1" s="90" t="s">
        <v>133</v>
      </c>
    </row>
    <row r="2" spans="1:7" ht="39.75" customHeight="1">
      <c r="A2" s="271" t="s">
        <v>118</v>
      </c>
      <c r="B2" s="271"/>
      <c r="C2" s="271"/>
      <c r="D2" s="271"/>
      <c r="E2" s="271"/>
      <c r="F2" s="271"/>
      <c r="G2" s="271"/>
    </row>
    <row r="3" spans="1:7" ht="69" customHeight="1">
      <c r="A3" s="272" t="s">
        <v>134</v>
      </c>
      <c r="B3" s="273" t="s">
        <v>135</v>
      </c>
      <c r="C3" s="273"/>
      <c r="D3" s="272" t="s">
        <v>136</v>
      </c>
      <c r="E3" s="272" t="s">
        <v>137</v>
      </c>
      <c r="F3" s="272"/>
      <c r="G3" s="272" t="s">
        <v>138</v>
      </c>
    </row>
    <row r="4" spans="1:7" ht="45">
      <c r="A4" s="272"/>
      <c r="B4" s="15" t="s">
        <v>139</v>
      </c>
      <c r="C4" s="15" t="s">
        <v>140</v>
      </c>
      <c r="D4" s="272"/>
      <c r="E4" s="15" t="s">
        <v>141</v>
      </c>
      <c r="F4" s="15" t="s">
        <v>142</v>
      </c>
      <c r="G4" s="272"/>
    </row>
    <row r="5" spans="1:7" ht="15">
      <c r="A5" s="20">
        <v>1</v>
      </c>
      <c r="B5" s="20">
        <v>2</v>
      </c>
      <c r="C5" s="20">
        <v>3</v>
      </c>
      <c r="D5" s="15">
        <v>4</v>
      </c>
      <c r="E5" s="15">
        <v>5</v>
      </c>
      <c r="F5" s="15">
        <v>6</v>
      </c>
      <c r="G5" s="15">
        <v>7</v>
      </c>
    </row>
    <row r="6" spans="1:7" ht="114">
      <c r="A6" s="232" t="s">
        <v>256</v>
      </c>
      <c r="B6" s="212" t="s">
        <v>257</v>
      </c>
      <c r="C6" s="212" t="s">
        <v>258</v>
      </c>
      <c r="D6" s="226" t="s">
        <v>259</v>
      </c>
      <c r="E6" s="227" t="s">
        <v>260</v>
      </c>
      <c r="F6" s="213" t="s">
        <v>261</v>
      </c>
      <c r="G6" s="238" t="s">
        <v>262</v>
      </c>
    </row>
    <row r="7" spans="1:7" ht="114">
      <c r="A7" s="232" t="s">
        <v>256</v>
      </c>
      <c r="B7" s="212" t="s">
        <v>263</v>
      </c>
      <c r="C7" s="214" t="s">
        <v>264</v>
      </c>
      <c r="D7" s="226" t="s">
        <v>265</v>
      </c>
      <c r="E7" s="227" t="s">
        <v>266</v>
      </c>
      <c r="F7" s="213" t="s">
        <v>261</v>
      </c>
      <c r="G7" s="238" t="s">
        <v>262</v>
      </c>
    </row>
    <row r="8" spans="1:7" ht="114">
      <c r="A8" s="232" t="s">
        <v>256</v>
      </c>
      <c r="B8" s="215" t="s">
        <v>267</v>
      </c>
      <c r="C8" s="215" t="s">
        <v>268</v>
      </c>
      <c r="D8" s="215" t="s">
        <v>269</v>
      </c>
      <c r="E8" s="217" t="s">
        <v>266</v>
      </c>
      <c r="F8" s="217" t="s">
        <v>261</v>
      </c>
      <c r="G8" s="238" t="s">
        <v>262</v>
      </c>
    </row>
    <row r="9" spans="1:7" ht="114">
      <c r="A9" s="232" t="s">
        <v>256</v>
      </c>
      <c r="B9" s="221" t="s">
        <v>270</v>
      </c>
      <c r="C9" s="222" t="s">
        <v>271</v>
      </c>
      <c r="D9" s="215" t="s">
        <v>269</v>
      </c>
      <c r="E9" s="217" t="s">
        <v>266</v>
      </c>
      <c r="F9" s="217" t="s">
        <v>261</v>
      </c>
      <c r="G9" s="238" t="s">
        <v>262</v>
      </c>
    </row>
    <row r="10" spans="1:7" ht="114">
      <c r="A10" s="232" t="s">
        <v>256</v>
      </c>
      <c r="B10" s="218" t="s">
        <v>272</v>
      </c>
      <c r="C10" s="219" t="s">
        <v>273</v>
      </c>
      <c r="D10" s="226" t="s">
        <v>274</v>
      </c>
      <c r="E10" s="217" t="s">
        <v>275</v>
      </c>
      <c r="F10" s="220" t="s">
        <v>276</v>
      </c>
      <c r="G10" s="238" t="s">
        <v>262</v>
      </c>
    </row>
    <row r="11" spans="1:7" ht="114">
      <c r="A11" s="232" t="s">
        <v>256</v>
      </c>
      <c r="B11" s="212" t="s">
        <v>277</v>
      </c>
      <c r="C11" s="214" t="s">
        <v>278</v>
      </c>
      <c r="D11" s="226" t="s">
        <v>279</v>
      </c>
      <c r="E11" s="217" t="s">
        <v>280</v>
      </c>
      <c r="F11" s="217" t="s">
        <v>281</v>
      </c>
      <c r="G11" s="238" t="s">
        <v>262</v>
      </c>
    </row>
    <row r="12" spans="1:7" ht="114">
      <c r="A12" s="232" t="s">
        <v>256</v>
      </c>
      <c r="B12" s="210" t="s">
        <v>282</v>
      </c>
      <c r="C12" s="211" t="s">
        <v>283</v>
      </c>
      <c r="D12" s="215" t="s">
        <v>284</v>
      </c>
      <c r="E12" s="217" t="s">
        <v>280</v>
      </c>
      <c r="F12" s="217" t="s">
        <v>281</v>
      </c>
      <c r="G12" s="238" t="s">
        <v>262</v>
      </c>
    </row>
    <row r="13" spans="1:7" ht="114">
      <c r="A13" s="232" t="s">
        <v>285</v>
      </c>
      <c r="B13" s="208" t="s">
        <v>286</v>
      </c>
      <c r="C13" s="209" t="s">
        <v>287</v>
      </c>
      <c r="D13" s="208" t="s">
        <v>288</v>
      </c>
      <c r="E13" s="228" t="s">
        <v>266</v>
      </c>
      <c r="F13" s="220" t="s">
        <v>276</v>
      </c>
      <c r="G13" s="230" t="s">
        <v>289</v>
      </c>
    </row>
    <row r="14" spans="1:7" ht="114">
      <c r="A14" s="232" t="s">
        <v>285</v>
      </c>
      <c r="B14" s="210" t="s">
        <v>290</v>
      </c>
      <c r="C14" s="211" t="s">
        <v>291</v>
      </c>
      <c r="D14" s="215" t="s">
        <v>274</v>
      </c>
      <c r="E14" s="217" t="s">
        <v>292</v>
      </c>
      <c r="F14" s="217" t="s">
        <v>276</v>
      </c>
      <c r="G14" s="230" t="s">
        <v>289</v>
      </c>
    </row>
    <row r="15" spans="1:7" ht="114">
      <c r="A15" s="232" t="s">
        <v>285</v>
      </c>
      <c r="B15" s="210" t="s">
        <v>293</v>
      </c>
      <c r="C15" s="211" t="s">
        <v>294</v>
      </c>
      <c r="D15" s="215" t="s">
        <v>274</v>
      </c>
      <c r="E15" s="217" t="s">
        <v>292</v>
      </c>
      <c r="F15" s="217" t="s">
        <v>276</v>
      </c>
      <c r="G15" s="230" t="s">
        <v>289</v>
      </c>
    </row>
    <row r="16" spans="1:7" ht="114">
      <c r="A16" s="232" t="s">
        <v>285</v>
      </c>
      <c r="B16" s="221" t="s">
        <v>295</v>
      </c>
      <c r="C16" s="222" t="s">
        <v>296</v>
      </c>
      <c r="D16" s="215" t="s">
        <v>297</v>
      </c>
      <c r="E16" s="217" t="s">
        <v>292</v>
      </c>
      <c r="F16" s="217" t="s">
        <v>276</v>
      </c>
      <c r="G16" s="230" t="s">
        <v>289</v>
      </c>
    </row>
    <row r="17" spans="1:7" ht="114">
      <c r="A17" s="232" t="s">
        <v>285</v>
      </c>
      <c r="B17" s="221" t="s">
        <v>298</v>
      </c>
      <c r="C17" s="222" t="s">
        <v>299</v>
      </c>
      <c r="D17" s="215" t="s">
        <v>274</v>
      </c>
      <c r="E17" s="217" t="s">
        <v>292</v>
      </c>
      <c r="F17" s="217" t="s">
        <v>276</v>
      </c>
      <c r="G17" s="230" t="s">
        <v>289</v>
      </c>
    </row>
    <row r="18" spans="1:7" ht="114">
      <c r="A18" s="232" t="s">
        <v>285</v>
      </c>
      <c r="B18" s="221" t="s">
        <v>300</v>
      </c>
      <c r="C18" s="222" t="s">
        <v>301</v>
      </c>
      <c r="D18" s="215" t="s">
        <v>274</v>
      </c>
      <c r="E18" s="217" t="s">
        <v>276</v>
      </c>
      <c r="F18" s="217" t="s">
        <v>281</v>
      </c>
      <c r="G18" s="230" t="s">
        <v>289</v>
      </c>
    </row>
    <row r="19" spans="1:7" ht="114">
      <c r="A19" s="216" t="s">
        <v>285</v>
      </c>
      <c r="B19" s="221" t="s">
        <v>302</v>
      </c>
      <c r="C19" s="222" t="s">
        <v>303</v>
      </c>
      <c r="D19" s="215" t="s">
        <v>274</v>
      </c>
      <c r="E19" s="217" t="s">
        <v>292</v>
      </c>
      <c r="F19" s="217" t="s">
        <v>276</v>
      </c>
      <c r="G19" s="230" t="s">
        <v>289</v>
      </c>
    </row>
    <row r="20" spans="1:7" ht="71.25">
      <c r="A20" s="216" t="s">
        <v>304</v>
      </c>
      <c r="B20" s="210" t="s">
        <v>305</v>
      </c>
      <c r="C20" s="210" t="s">
        <v>306</v>
      </c>
      <c r="D20" s="215" t="s">
        <v>307</v>
      </c>
      <c r="E20" s="217" t="s">
        <v>308</v>
      </c>
      <c r="F20" s="217" t="s">
        <v>261</v>
      </c>
      <c r="G20" s="231" t="s">
        <v>309</v>
      </c>
    </row>
    <row r="21" spans="1:7" ht="71.25">
      <c r="A21" s="216" t="s">
        <v>304</v>
      </c>
      <c r="B21" s="210" t="s">
        <v>310</v>
      </c>
      <c r="C21" s="210" t="s">
        <v>311</v>
      </c>
      <c r="D21" s="215" t="s">
        <v>284</v>
      </c>
      <c r="E21" s="217" t="s">
        <v>266</v>
      </c>
      <c r="F21" s="217" t="s">
        <v>261</v>
      </c>
      <c r="G21" s="231" t="s">
        <v>309</v>
      </c>
    </row>
    <row r="22" spans="1:7" ht="71.25">
      <c r="A22" s="216" t="s">
        <v>304</v>
      </c>
      <c r="B22" s="210" t="s">
        <v>312</v>
      </c>
      <c r="C22" s="210" t="s">
        <v>313</v>
      </c>
      <c r="D22" s="215" t="s">
        <v>284</v>
      </c>
      <c r="E22" s="217" t="s">
        <v>266</v>
      </c>
      <c r="F22" s="217" t="s">
        <v>261</v>
      </c>
      <c r="G22" s="231" t="s">
        <v>309</v>
      </c>
    </row>
    <row r="23" spans="1:7" ht="71.25">
      <c r="A23" s="216" t="s">
        <v>304</v>
      </c>
      <c r="B23" s="221" t="s">
        <v>314</v>
      </c>
      <c r="C23" s="221" t="s">
        <v>315</v>
      </c>
      <c r="D23" s="229" t="s">
        <v>274</v>
      </c>
      <c r="E23" s="217" t="s">
        <v>276</v>
      </c>
      <c r="F23" s="217" t="s">
        <v>281</v>
      </c>
      <c r="G23" s="231" t="s">
        <v>309</v>
      </c>
    </row>
    <row r="24" spans="1:7" ht="71.25">
      <c r="A24" s="216" t="s">
        <v>304</v>
      </c>
      <c r="B24" s="221" t="s">
        <v>316</v>
      </c>
      <c r="C24" s="221" t="s">
        <v>317</v>
      </c>
      <c r="D24" s="215" t="s">
        <v>274</v>
      </c>
      <c r="E24" s="217" t="s">
        <v>276</v>
      </c>
      <c r="F24" s="217" t="s">
        <v>281</v>
      </c>
      <c r="G24" s="231" t="s">
        <v>309</v>
      </c>
    </row>
    <row r="25" spans="1:7" ht="85.5">
      <c r="A25" s="232" t="s">
        <v>318</v>
      </c>
      <c r="B25" s="221" t="s">
        <v>319</v>
      </c>
      <c r="C25" s="210" t="s">
        <v>320</v>
      </c>
      <c r="D25" s="226" t="s">
        <v>321</v>
      </c>
      <c r="E25" s="217" t="s">
        <v>322</v>
      </c>
      <c r="F25" s="223" t="s">
        <v>261</v>
      </c>
      <c r="G25" s="238" t="s">
        <v>323</v>
      </c>
    </row>
    <row r="26" spans="1:7" ht="85.5">
      <c r="A26" s="216" t="s">
        <v>318</v>
      </c>
      <c r="B26" s="221" t="s">
        <v>324</v>
      </c>
      <c r="C26" s="210" t="s">
        <v>325</v>
      </c>
      <c r="D26" s="215" t="s">
        <v>326</v>
      </c>
      <c r="E26" s="217" t="s">
        <v>276</v>
      </c>
      <c r="F26" s="217" t="s">
        <v>276</v>
      </c>
      <c r="G26" s="238" t="s">
        <v>323</v>
      </c>
    </row>
    <row r="27" spans="1:7" ht="85.5">
      <c r="A27" s="233" t="s">
        <v>327</v>
      </c>
      <c r="B27" s="215" t="s">
        <v>328</v>
      </c>
      <c r="C27" s="215" t="s">
        <v>329</v>
      </c>
      <c r="D27" s="215" t="s">
        <v>326</v>
      </c>
      <c r="E27" s="217" t="s">
        <v>266</v>
      </c>
      <c r="F27" s="223" t="s">
        <v>261</v>
      </c>
      <c r="G27" s="230" t="s">
        <v>330</v>
      </c>
    </row>
    <row r="28" spans="1:7" ht="128.25">
      <c r="A28" s="232" t="s">
        <v>331</v>
      </c>
      <c r="B28" s="210" t="s">
        <v>332</v>
      </c>
      <c r="C28" s="210" t="s">
        <v>333</v>
      </c>
      <c r="D28" s="215" t="s">
        <v>334</v>
      </c>
      <c r="E28" s="217" t="s">
        <v>266</v>
      </c>
      <c r="F28" s="224" t="s">
        <v>276</v>
      </c>
      <c r="G28" s="230" t="s">
        <v>335</v>
      </c>
    </row>
    <row r="29" spans="1:7" ht="128.25">
      <c r="A29" s="232" t="s">
        <v>331</v>
      </c>
      <c r="B29" s="210" t="s">
        <v>336</v>
      </c>
      <c r="C29" s="210" t="s">
        <v>332</v>
      </c>
      <c r="D29" s="215" t="s">
        <v>337</v>
      </c>
      <c r="E29" s="217" t="s">
        <v>276</v>
      </c>
      <c r="F29" s="217" t="s">
        <v>281</v>
      </c>
      <c r="G29" s="230" t="s">
        <v>335</v>
      </c>
    </row>
    <row r="30" spans="1:7" ht="128.25">
      <c r="A30" s="232" t="s">
        <v>331</v>
      </c>
      <c r="B30" s="210" t="s">
        <v>338</v>
      </c>
      <c r="C30" s="210" t="s">
        <v>339</v>
      </c>
      <c r="D30" s="215" t="s">
        <v>340</v>
      </c>
      <c r="E30" s="217" t="s">
        <v>292</v>
      </c>
      <c r="F30" s="217" t="s">
        <v>276</v>
      </c>
      <c r="G30" s="230" t="s">
        <v>335</v>
      </c>
    </row>
    <row r="31" spans="1:7" ht="128.25">
      <c r="A31" s="216" t="s">
        <v>341</v>
      </c>
      <c r="B31" s="210" t="s">
        <v>342</v>
      </c>
      <c r="C31" s="210" t="s">
        <v>343</v>
      </c>
      <c r="D31" s="215" t="s">
        <v>344</v>
      </c>
      <c r="E31" s="217" t="s">
        <v>276</v>
      </c>
      <c r="F31" s="217" t="s">
        <v>281</v>
      </c>
      <c r="G31" s="239" t="s">
        <v>345</v>
      </c>
    </row>
    <row r="32" spans="1:7" ht="128.25">
      <c r="A32" s="234" t="s">
        <v>341</v>
      </c>
      <c r="B32" s="210" t="s">
        <v>343</v>
      </c>
      <c r="C32" s="210" t="s">
        <v>346</v>
      </c>
      <c r="D32" s="215" t="s">
        <v>347</v>
      </c>
      <c r="E32" s="217" t="s">
        <v>266</v>
      </c>
      <c r="F32" s="224" t="s">
        <v>261</v>
      </c>
      <c r="G32" s="239" t="s">
        <v>345</v>
      </c>
    </row>
    <row r="33" spans="1:7" ht="85.5">
      <c r="A33" s="235" t="s">
        <v>348</v>
      </c>
      <c r="B33" s="210" t="s">
        <v>349</v>
      </c>
      <c r="C33" s="210" t="s">
        <v>350</v>
      </c>
      <c r="D33" s="215" t="s">
        <v>351</v>
      </c>
      <c r="E33" s="217" t="s">
        <v>275</v>
      </c>
      <c r="F33" s="224" t="s">
        <v>276</v>
      </c>
      <c r="G33" s="240" t="s">
        <v>352</v>
      </c>
    </row>
    <row r="34" spans="1:7" ht="85.5">
      <c r="A34" s="225" t="s">
        <v>348</v>
      </c>
      <c r="B34" s="210" t="s">
        <v>353</v>
      </c>
      <c r="C34" s="210" t="s">
        <v>354</v>
      </c>
      <c r="D34" s="215" t="s">
        <v>344</v>
      </c>
      <c r="E34" s="217" t="s">
        <v>275</v>
      </c>
      <c r="F34" s="224" t="s">
        <v>276</v>
      </c>
      <c r="G34" s="241" t="s">
        <v>352</v>
      </c>
    </row>
    <row r="35" spans="1:7" ht="85.5">
      <c r="A35" s="225" t="s">
        <v>348</v>
      </c>
      <c r="B35" s="210" t="s">
        <v>355</v>
      </c>
      <c r="C35" s="210" t="s">
        <v>356</v>
      </c>
      <c r="D35" s="215" t="s">
        <v>351</v>
      </c>
      <c r="E35" s="217" t="s">
        <v>275</v>
      </c>
      <c r="F35" s="224" t="s">
        <v>276</v>
      </c>
      <c r="G35" s="240" t="s">
        <v>352</v>
      </c>
    </row>
    <row r="36" spans="1:7" ht="71.25">
      <c r="A36" s="236" t="s">
        <v>357</v>
      </c>
      <c r="B36" s="210" t="s">
        <v>358</v>
      </c>
      <c r="C36" s="210" t="s">
        <v>359</v>
      </c>
      <c r="D36" s="215" t="s">
        <v>351</v>
      </c>
      <c r="E36" s="217" t="s">
        <v>275</v>
      </c>
      <c r="F36" s="224" t="s">
        <v>276</v>
      </c>
      <c r="G36" s="238" t="s">
        <v>360</v>
      </c>
    </row>
    <row r="37" spans="1:7" ht="71.25">
      <c r="A37" s="236" t="s">
        <v>357</v>
      </c>
      <c r="B37" s="210" t="s">
        <v>361</v>
      </c>
      <c r="C37" s="210" t="s">
        <v>362</v>
      </c>
      <c r="D37" s="215" t="s">
        <v>334</v>
      </c>
      <c r="E37" s="217" t="s">
        <v>275</v>
      </c>
      <c r="F37" s="224" t="s">
        <v>276</v>
      </c>
      <c r="G37" s="238" t="s">
        <v>360</v>
      </c>
    </row>
    <row r="38" spans="1:7" ht="71.25">
      <c r="A38" s="225" t="s">
        <v>363</v>
      </c>
      <c r="B38" s="210" t="s">
        <v>364</v>
      </c>
      <c r="C38" s="210" t="s">
        <v>365</v>
      </c>
      <c r="D38" s="215" t="s">
        <v>351</v>
      </c>
      <c r="E38" s="217" t="s">
        <v>275</v>
      </c>
      <c r="F38" s="224" t="s">
        <v>276</v>
      </c>
      <c r="G38" s="238" t="s">
        <v>366</v>
      </c>
    </row>
    <row r="39" spans="1:7" ht="71.25">
      <c r="A39" s="236" t="s">
        <v>363</v>
      </c>
      <c r="B39" s="210" t="s">
        <v>365</v>
      </c>
      <c r="C39" s="210" t="s">
        <v>367</v>
      </c>
      <c r="D39" s="215" t="s">
        <v>326</v>
      </c>
      <c r="E39" s="217" t="s">
        <v>275</v>
      </c>
      <c r="F39" s="224" t="s">
        <v>276</v>
      </c>
      <c r="G39" s="238" t="s">
        <v>366</v>
      </c>
    </row>
    <row r="40" spans="1:7" ht="85.5">
      <c r="A40" s="237" t="s">
        <v>368</v>
      </c>
      <c r="B40" s="210" t="s">
        <v>369</v>
      </c>
      <c r="C40" s="210" t="s">
        <v>370</v>
      </c>
      <c r="D40" s="215" t="s">
        <v>351</v>
      </c>
      <c r="E40" s="217" t="s">
        <v>275</v>
      </c>
      <c r="F40" s="224" t="s">
        <v>276</v>
      </c>
      <c r="G40" s="241" t="s">
        <v>371</v>
      </c>
    </row>
    <row r="41" spans="1:7" ht="71.25">
      <c r="A41" s="237" t="s">
        <v>372</v>
      </c>
      <c r="B41" s="210" t="s">
        <v>373</v>
      </c>
      <c r="C41" s="210" t="s">
        <v>374</v>
      </c>
      <c r="D41" s="215" t="s">
        <v>351</v>
      </c>
      <c r="E41" s="217" t="s">
        <v>275</v>
      </c>
      <c r="F41" s="224" t="s">
        <v>276</v>
      </c>
      <c r="G41" s="241" t="s">
        <v>375</v>
      </c>
    </row>
    <row r="42" spans="1:7" ht="85.5">
      <c r="A42" s="237" t="s">
        <v>376</v>
      </c>
      <c r="B42" s="210" t="s">
        <v>377</v>
      </c>
      <c r="C42" s="210" t="s">
        <v>378</v>
      </c>
      <c r="D42" s="215" t="s">
        <v>334</v>
      </c>
      <c r="E42" s="217" t="s">
        <v>280</v>
      </c>
      <c r="F42" s="224" t="s">
        <v>281</v>
      </c>
      <c r="G42" s="238" t="s">
        <v>379</v>
      </c>
    </row>
    <row r="43" spans="1:7" ht="57">
      <c r="A43" s="237" t="s">
        <v>380</v>
      </c>
      <c r="B43" s="210" t="s">
        <v>381</v>
      </c>
      <c r="C43" s="210" t="s">
        <v>382</v>
      </c>
      <c r="D43" s="215" t="s">
        <v>383</v>
      </c>
      <c r="E43" s="217" t="s">
        <v>280</v>
      </c>
      <c r="F43" s="224" t="s">
        <v>281</v>
      </c>
      <c r="G43" s="230" t="s">
        <v>384</v>
      </c>
    </row>
    <row r="44" spans="1:7" ht="128.25">
      <c r="A44" s="237" t="s">
        <v>385</v>
      </c>
      <c r="B44" s="210" t="s">
        <v>381</v>
      </c>
      <c r="C44" s="210" t="s">
        <v>386</v>
      </c>
      <c r="D44" s="215" t="s">
        <v>387</v>
      </c>
      <c r="E44" s="217" t="s">
        <v>280</v>
      </c>
      <c r="F44" s="224" t="s">
        <v>281</v>
      </c>
      <c r="G44" s="241" t="s">
        <v>388</v>
      </c>
    </row>
    <row r="45" spans="1:7" ht="57">
      <c r="A45" s="237" t="s">
        <v>389</v>
      </c>
      <c r="B45" s="210" t="s">
        <v>390</v>
      </c>
      <c r="C45" s="210" t="s">
        <v>391</v>
      </c>
      <c r="D45" s="215" t="s">
        <v>392</v>
      </c>
      <c r="E45" s="217" t="s">
        <v>280</v>
      </c>
      <c r="F45" s="224" t="s">
        <v>281</v>
      </c>
      <c r="G45" s="241" t="s">
        <v>393</v>
      </c>
    </row>
    <row r="46" spans="1:7" ht="99.75">
      <c r="A46" s="237" t="s">
        <v>394</v>
      </c>
      <c r="B46" s="210" t="s">
        <v>395</v>
      </c>
      <c r="C46" s="210" t="s">
        <v>396</v>
      </c>
      <c r="D46" s="215" t="s">
        <v>397</v>
      </c>
      <c r="E46" s="217" t="s">
        <v>280</v>
      </c>
      <c r="F46" s="224" t="s">
        <v>281</v>
      </c>
      <c r="G46" s="231" t="s">
        <v>398</v>
      </c>
    </row>
  </sheetData>
  <mergeCells count="6">
    <mergeCell ref="A2:G2"/>
    <mergeCell ref="A3:A4"/>
    <mergeCell ref="B3:C3"/>
    <mergeCell ref="D3:D4"/>
    <mergeCell ref="E3:F3"/>
    <mergeCell ref="G3:G4"/>
  </mergeCells>
  <printOptions/>
  <pageMargins left="0.7875" right="0.39375" top="0.39375" bottom="0.39375" header="0.5118055555555555" footer="0.5118055555555555"/>
  <pageSetup horizontalDpi="300" verticalDpi="3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view="pageBreakPreview" zoomScale="75" zoomScaleNormal="75" zoomScaleSheetLayoutView="75" workbookViewId="0" topLeftCell="A1">
      <selection activeCell="A6" sqref="A6:J16"/>
    </sheetView>
  </sheetViews>
  <sheetFormatPr defaultColWidth="9.3984375" defaultRowHeight="14.25"/>
  <cols>
    <col min="1" max="1" width="6" style="6" customWidth="1"/>
    <col min="2" max="2" width="30.8984375" style="6" customWidth="1"/>
    <col min="3" max="3" width="16.19921875" style="6" customWidth="1"/>
    <col min="4" max="4" width="16.5" style="6" customWidth="1"/>
    <col min="5" max="5" width="14.8984375" style="6" customWidth="1"/>
    <col min="6" max="6" width="16.69921875" style="6" customWidth="1"/>
    <col min="7" max="7" width="10.5" style="6" customWidth="1"/>
    <col min="8" max="8" width="16.09765625" style="6" customWidth="1"/>
    <col min="9" max="9" width="13.19921875" style="6" customWidth="1"/>
    <col min="10" max="10" width="16" style="6" customWidth="1"/>
    <col min="11" max="11" width="15.59765625" style="6" customWidth="1"/>
    <col min="12" max="12" width="14.8984375" style="6" customWidth="1"/>
    <col min="13" max="13" width="9" style="6" customWidth="1"/>
    <col min="14" max="14" width="11.8984375" style="6" customWidth="1"/>
    <col min="15" max="15" width="11.3984375" style="6" customWidth="1"/>
    <col min="16" max="16" width="10" style="6" customWidth="1"/>
    <col min="17" max="16384" width="9" style="6" customWidth="1"/>
  </cols>
  <sheetData>
    <row r="1" ht="18.75">
      <c r="J1" s="6" t="s">
        <v>144</v>
      </c>
    </row>
    <row r="2" spans="1:10" ht="72" customHeight="1">
      <c r="A2" s="271" t="s">
        <v>145</v>
      </c>
      <c r="B2" s="271"/>
      <c r="C2" s="271"/>
      <c r="D2" s="271"/>
      <c r="E2" s="271"/>
      <c r="F2" s="271"/>
      <c r="G2" s="271"/>
      <c r="H2" s="271"/>
      <c r="I2" s="271"/>
      <c r="J2" s="271"/>
    </row>
    <row r="3" spans="1:10" s="53" customFormat="1" ht="18.75" customHeight="1">
      <c r="A3" s="254" t="s">
        <v>107</v>
      </c>
      <c r="B3" s="254" t="s">
        <v>146</v>
      </c>
      <c r="C3" s="254" t="s">
        <v>143</v>
      </c>
      <c r="D3" s="254"/>
      <c r="E3" s="254"/>
      <c r="F3" s="254"/>
      <c r="G3" s="254"/>
      <c r="H3" s="254"/>
      <c r="I3" s="254"/>
      <c r="J3" s="254"/>
    </row>
    <row r="4" spans="1:10" s="53" customFormat="1" ht="93.75">
      <c r="A4" s="254"/>
      <c r="B4" s="254"/>
      <c r="C4" s="1" t="s">
        <v>147</v>
      </c>
      <c r="D4" s="1" t="s">
        <v>148</v>
      </c>
      <c r="E4" s="1" t="s">
        <v>149</v>
      </c>
      <c r="F4" s="1" t="s">
        <v>150</v>
      </c>
      <c r="G4" s="1" t="s">
        <v>151</v>
      </c>
      <c r="H4" s="1" t="s">
        <v>152</v>
      </c>
      <c r="I4" s="1" t="s">
        <v>153</v>
      </c>
      <c r="J4" s="1" t="s">
        <v>154</v>
      </c>
    </row>
    <row r="5" spans="1:10" ht="18.75">
      <c r="A5" s="11">
        <v>1</v>
      </c>
      <c r="B5" s="11">
        <v>1</v>
      </c>
      <c r="C5" s="11">
        <v>2</v>
      </c>
      <c r="D5" s="11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</row>
    <row r="6" spans="1:10" ht="18.75">
      <c r="A6" s="120" t="s">
        <v>399</v>
      </c>
      <c r="B6" s="242" t="s">
        <v>400</v>
      </c>
      <c r="C6" s="120"/>
      <c r="D6" s="120"/>
      <c r="E6" s="243"/>
      <c r="F6" s="243"/>
      <c r="G6" s="243"/>
      <c r="H6" s="243"/>
      <c r="I6" s="244">
        <v>621.24</v>
      </c>
      <c r="J6" s="244"/>
    </row>
    <row r="7" spans="1:10" ht="18.75">
      <c r="A7" s="120" t="s">
        <v>401</v>
      </c>
      <c r="B7" s="242" t="s">
        <v>400</v>
      </c>
      <c r="C7" s="120"/>
      <c r="D7" s="120"/>
      <c r="E7" s="243"/>
      <c r="F7" s="243"/>
      <c r="G7" s="243"/>
      <c r="H7" s="243"/>
      <c r="I7" s="243">
        <v>591.426</v>
      </c>
      <c r="J7" s="243"/>
    </row>
    <row r="8" spans="1:10" ht="18.75">
      <c r="A8" s="120">
        <v>3</v>
      </c>
      <c r="B8" s="242" t="s">
        <v>400</v>
      </c>
      <c r="C8" s="120"/>
      <c r="D8" s="120"/>
      <c r="E8" s="243"/>
      <c r="F8" s="243"/>
      <c r="G8" s="243"/>
      <c r="H8" s="243"/>
      <c r="I8" s="243"/>
      <c r="J8" s="243">
        <v>61.982</v>
      </c>
    </row>
    <row r="9" spans="1:10" ht="18.75">
      <c r="A9" s="120">
        <v>4</v>
      </c>
      <c r="B9" s="245" t="s">
        <v>402</v>
      </c>
      <c r="C9" s="120">
        <v>115.663</v>
      </c>
      <c r="D9" s="120"/>
      <c r="E9" s="243"/>
      <c r="F9" s="243"/>
      <c r="G9" s="243"/>
      <c r="H9" s="243"/>
      <c r="I9" s="243"/>
      <c r="J9" s="243"/>
    </row>
    <row r="10" spans="1:10" ht="18.75">
      <c r="A10" s="120">
        <v>5</v>
      </c>
      <c r="B10" s="245" t="s">
        <v>402</v>
      </c>
      <c r="C10" s="120"/>
      <c r="D10" s="120"/>
      <c r="E10" s="243">
        <v>29.795</v>
      </c>
      <c r="F10" s="243"/>
      <c r="G10" s="243"/>
      <c r="H10" s="243"/>
      <c r="I10" s="243"/>
      <c r="J10" s="243"/>
    </row>
    <row r="11" spans="1:10" ht="37.5">
      <c r="A11" s="120">
        <v>6</v>
      </c>
      <c r="B11" s="246" t="s">
        <v>403</v>
      </c>
      <c r="C11" s="120"/>
      <c r="D11" s="120"/>
      <c r="E11" s="243">
        <v>194.577</v>
      </c>
      <c r="F11" s="243"/>
      <c r="G11" s="243"/>
      <c r="H11" s="243"/>
      <c r="I11" s="243"/>
      <c r="J11" s="243"/>
    </row>
    <row r="12" spans="1:10" ht="37.5">
      <c r="A12" s="120">
        <v>7</v>
      </c>
      <c r="B12" s="246" t="s">
        <v>403</v>
      </c>
      <c r="C12" s="120">
        <v>373.946</v>
      </c>
      <c r="D12" s="120"/>
      <c r="E12" s="243"/>
      <c r="F12" s="243"/>
      <c r="G12" s="243"/>
      <c r="H12" s="243"/>
      <c r="I12" s="243"/>
      <c r="J12" s="243"/>
    </row>
    <row r="13" spans="1:10" ht="18.75">
      <c r="A13" s="120">
        <v>8</v>
      </c>
      <c r="B13" s="242" t="s">
        <v>404</v>
      </c>
      <c r="C13" s="120"/>
      <c r="D13" s="120"/>
      <c r="E13" s="243"/>
      <c r="F13" s="243">
        <v>38.02</v>
      </c>
      <c r="G13" s="243"/>
      <c r="H13" s="243"/>
      <c r="I13" s="243"/>
      <c r="J13" s="243"/>
    </row>
    <row r="14" spans="1:10" ht="18.75">
      <c r="A14" s="247">
        <v>9</v>
      </c>
      <c r="B14" s="248" t="s">
        <v>405</v>
      </c>
      <c r="C14" s="249"/>
      <c r="D14" s="248"/>
      <c r="E14" s="248"/>
      <c r="F14" s="250">
        <v>48.16</v>
      </c>
      <c r="G14" s="248"/>
      <c r="H14" s="248"/>
      <c r="I14" s="248"/>
      <c r="J14" s="248"/>
    </row>
    <row r="15" spans="1:10" ht="18.75">
      <c r="A15" s="247">
        <v>10</v>
      </c>
      <c r="B15" s="248" t="s">
        <v>406</v>
      </c>
      <c r="C15" s="249"/>
      <c r="D15" s="248"/>
      <c r="E15" s="248"/>
      <c r="F15" s="248"/>
      <c r="G15" s="248"/>
      <c r="H15" s="250">
        <v>18.47</v>
      </c>
      <c r="I15" s="248"/>
      <c r="J15" s="248"/>
    </row>
    <row r="16" spans="1:10" ht="18.75">
      <c r="A16" s="247">
        <v>11</v>
      </c>
      <c r="B16" s="248" t="s">
        <v>407</v>
      </c>
      <c r="C16" s="249"/>
      <c r="D16" s="248"/>
      <c r="E16" s="248"/>
      <c r="F16" s="248"/>
      <c r="G16" s="248"/>
      <c r="H16" s="250">
        <v>8.06</v>
      </c>
      <c r="I16" s="248"/>
      <c r="J16" s="248"/>
    </row>
  </sheetData>
  <mergeCells count="4">
    <mergeCell ref="A2:J2"/>
    <mergeCell ref="A3:A4"/>
    <mergeCell ref="B3:B4"/>
    <mergeCell ref="C3:J3"/>
  </mergeCells>
  <printOptions/>
  <pageMargins left="0.5298611111111111" right="0.39375" top="0.9840277777777777" bottom="0.5902777777777778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2017-01-20T09:29:47Z</dcterms:modified>
  <cp:category/>
  <cp:version/>
  <cp:contentType/>
  <cp:contentStatus/>
</cp:coreProperties>
</file>